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726"/>
  <workbookPr filterPrivacy="1" codeName="ThisWorkbook" defaultThemeVersion="124226"/>
  <bookViews>
    <workbookView xWindow="0" yWindow="0" windowWidth="20490" windowHeight="7530"/>
  </bookViews>
  <sheets>
    <sheet name="Summary" sheetId="5" r:id="rId1"/>
    <sheet name="Labour Fiscal Plan" sheetId="3" r:id="rId2"/>
    <sheet name="LFP &amp; Total Crown" sheetId="6" r:id="rId3"/>
    <sheet name="Historical growth" sheetId="7" r:id="rId4"/>
    <sheet name="Core Crown" sheetId="2" r:id="rId5"/>
  </sheets>
  <calcPr calcId="171027"/>
</workbook>
</file>

<file path=xl/calcChain.xml><?xml version="1.0" encoding="utf-8"?>
<calcChain xmlns="http://schemas.openxmlformats.org/spreadsheetml/2006/main">
  <c r="U16" i="2" l="1"/>
  <c r="U18" i="2"/>
  <c r="Q2" i="7" l="1"/>
  <c r="P2" i="7"/>
  <c r="O2" i="7"/>
  <c r="O48" i="7"/>
  <c r="Q47" i="7"/>
  <c r="P47" i="7"/>
  <c r="O47" i="7"/>
  <c r="N47" i="7"/>
  <c r="M47" i="7"/>
  <c r="Q46" i="7"/>
  <c r="R46" i="7" s="1"/>
  <c r="P46" i="7"/>
  <c r="O46" i="7"/>
  <c r="N46" i="7"/>
  <c r="M46" i="7"/>
  <c r="Q45" i="7"/>
  <c r="P45" i="7"/>
  <c r="O45" i="7"/>
  <c r="N45" i="7"/>
  <c r="M45" i="7"/>
  <c r="Q44" i="7"/>
  <c r="P44" i="7"/>
  <c r="O44" i="7"/>
  <c r="N44" i="7"/>
  <c r="M44" i="7"/>
  <c r="Q43" i="7"/>
  <c r="Q50" i="7" s="1"/>
  <c r="P43" i="7"/>
  <c r="P50" i="7" s="1"/>
  <c r="O43" i="7"/>
  <c r="O50" i="7" s="1"/>
  <c r="N43" i="7"/>
  <c r="N50" i="7" s="1"/>
  <c r="M43" i="7"/>
  <c r="M50" i="7" s="1"/>
  <c r="N42" i="7"/>
  <c r="N51" i="7" s="1"/>
  <c r="O42" i="7"/>
  <c r="O51" i="7" s="1"/>
  <c r="P42" i="7"/>
  <c r="P51" i="7" s="1"/>
  <c r="Q42" i="7"/>
  <c r="Q51" i="7" s="1"/>
  <c r="M42" i="7"/>
  <c r="R42" i="7" s="1"/>
  <c r="R4" i="7" s="1"/>
  <c r="R31" i="7"/>
  <c r="O4" i="7" s="1"/>
  <c r="R32" i="7"/>
  <c r="R33" i="7"/>
  <c r="P4" i="7" s="1"/>
  <c r="R34" i="7"/>
  <c r="R35" i="7"/>
  <c r="R30" i="7"/>
  <c r="R47" i="7"/>
  <c r="R45" i="7"/>
  <c r="R44" i="7"/>
  <c r="R43" i="7"/>
  <c r="Q36" i="7"/>
  <c r="Q39" i="7" s="1"/>
  <c r="R39" i="7" s="1"/>
  <c r="P36" i="7"/>
  <c r="P39" i="7" s="1"/>
  <c r="O36" i="7"/>
  <c r="O39" i="7" s="1"/>
  <c r="N36" i="7"/>
  <c r="N39" i="7" s="1"/>
  <c r="M36" i="7"/>
  <c r="M39" i="7" s="1"/>
  <c r="L36" i="7"/>
  <c r="L39" i="7" s="1"/>
  <c r="K36" i="7"/>
  <c r="K39" i="7" s="1"/>
  <c r="J36" i="7"/>
  <c r="J39" i="7" s="1"/>
  <c r="B17" i="7"/>
  <c r="C17" i="7"/>
  <c r="D17" i="7"/>
  <c r="E17" i="7"/>
  <c r="F17" i="7"/>
  <c r="G17" i="7"/>
  <c r="H17" i="7"/>
  <c r="I17" i="7"/>
  <c r="J17" i="7"/>
  <c r="K17" i="7"/>
  <c r="B18" i="7"/>
  <c r="C18" i="7"/>
  <c r="D18" i="7"/>
  <c r="E18" i="7"/>
  <c r="F18" i="7"/>
  <c r="G18" i="7"/>
  <c r="H18" i="7"/>
  <c r="I18" i="7"/>
  <c r="J18" i="7"/>
  <c r="K18" i="7"/>
  <c r="B19" i="7"/>
  <c r="C19" i="7"/>
  <c r="D19" i="7"/>
  <c r="E19" i="7"/>
  <c r="E24" i="7" s="1"/>
  <c r="F19" i="7"/>
  <c r="G19" i="7"/>
  <c r="H19" i="7"/>
  <c r="I19" i="7"/>
  <c r="J19" i="7"/>
  <c r="K19" i="7"/>
  <c r="B20" i="7"/>
  <c r="C20" i="7"/>
  <c r="D20" i="7"/>
  <c r="E20" i="7"/>
  <c r="F20" i="7"/>
  <c r="G20" i="7"/>
  <c r="H20" i="7"/>
  <c r="I20" i="7"/>
  <c r="J20" i="7"/>
  <c r="K20" i="7"/>
  <c r="B21" i="7"/>
  <c r="C21" i="7"/>
  <c r="D21" i="7"/>
  <c r="E21" i="7"/>
  <c r="F21" i="7"/>
  <c r="G21" i="7"/>
  <c r="H21" i="7"/>
  <c r="I21" i="7"/>
  <c r="J21" i="7"/>
  <c r="K21" i="7"/>
  <c r="B22" i="7"/>
  <c r="C22" i="7"/>
  <c r="D22" i="7"/>
  <c r="E22" i="7"/>
  <c r="F22" i="7"/>
  <c r="G22" i="7"/>
  <c r="H22" i="7"/>
  <c r="I22" i="7"/>
  <c r="J22" i="7"/>
  <c r="K22" i="7"/>
  <c r="C16" i="7"/>
  <c r="D16" i="7"/>
  <c r="E16" i="7"/>
  <c r="F16" i="7"/>
  <c r="F25" i="7" s="1"/>
  <c r="G16" i="7"/>
  <c r="H16" i="7"/>
  <c r="H25" i="7" s="1"/>
  <c r="I16" i="7"/>
  <c r="J16" i="7"/>
  <c r="J25" i="7" s="1"/>
  <c r="K16" i="7"/>
  <c r="B16" i="7"/>
  <c r="F13" i="7"/>
  <c r="B13" i="7"/>
  <c r="E13" i="7"/>
  <c r="H13" i="7"/>
  <c r="I13" i="7"/>
  <c r="K13" i="7"/>
  <c r="G13" i="7"/>
  <c r="J13" i="7"/>
  <c r="D13" i="7"/>
  <c r="C13" i="7"/>
  <c r="K9" i="3"/>
  <c r="F36" i="5" s="1"/>
  <c r="C90" i="5" s="1"/>
  <c r="R50" i="6"/>
  <c r="Q50" i="6"/>
  <c r="P50" i="6"/>
  <c r="O50" i="6"/>
  <c r="N50" i="6"/>
  <c r="S49" i="6"/>
  <c r="S48" i="6"/>
  <c r="S50" i="6" s="1"/>
  <c r="R42" i="6"/>
  <c r="Q42" i="6"/>
  <c r="P42" i="6"/>
  <c r="O42" i="6"/>
  <c r="N42" i="6"/>
  <c r="R34" i="6"/>
  <c r="Q34" i="6"/>
  <c r="P34" i="6"/>
  <c r="O34" i="6"/>
  <c r="N34" i="6"/>
  <c r="G45" i="6"/>
  <c r="G49" i="6" s="1"/>
  <c r="H45" i="6"/>
  <c r="H49" i="6" s="1"/>
  <c r="I45" i="6"/>
  <c r="I49" i="6" s="1"/>
  <c r="J45" i="6"/>
  <c r="F45" i="6"/>
  <c r="F49" i="6" s="1"/>
  <c r="R24" i="6"/>
  <c r="R21" i="6"/>
  <c r="N22" i="6"/>
  <c r="N44" i="6" s="1"/>
  <c r="O22" i="6"/>
  <c r="O44" i="6" s="1"/>
  <c r="P22" i="6"/>
  <c r="P44" i="6" s="1"/>
  <c r="Q22" i="6"/>
  <c r="Q44" i="6" s="1"/>
  <c r="R22" i="6"/>
  <c r="R44" i="6" s="1"/>
  <c r="N23" i="6"/>
  <c r="O23" i="6"/>
  <c r="P23" i="6"/>
  <c r="Q23" i="6"/>
  <c r="R23" i="6"/>
  <c r="N24" i="6"/>
  <c r="O24" i="6"/>
  <c r="P24" i="6"/>
  <c r="Q24" i="6"/>
  <c r="K47" i="6"/>
  <c r="K48" i="6"/>
  <c r="K24" i="6"/>
  <c r="N7" i="6"/>
  <c r="O7" i="6"/>
  <c r="P7" i="6"/>
  <c r="Q7" i="6"/>
  <c r="R7" i="6"/>
  <c r="N8" i="6"/>
  <c r="O8" i="6"/>
  <c r="P8" i="6"/>
  <c r="Q8" i="6"/>
  <c r="R8" i="6"/>
  <c r="N9" i="6"/>
  <c r="O9" i="6"/>
  <c r="P9" i="6"/>
  <c r="Q9" i="6"/>
  <c r="R9" i="6"/>
  <c r="N10" i="6"/>
  <c r="S10" i="6" s="1"/>
  <c r="O10" i="6"/>
  <c r="P10" i="6"/>
  <c r="Q10" i="6"/>
  <c r="R10" i="6"/>
  <c r="N11" i="6"/>
  <c r="O11" i="6"/>
  <c r="P11" i="6"/>
  <c r="Q11" i="6"/>
  <c r="R11" i="6"/>
  <c r="N12" i="6"/>
  <c r="O12" i="6"/>
  <c r="P12" i="6"/>
  <c r="Q12" i="6"/>
  <c r="R12" i="6"/>
  <c r="N13" i="6"/>
  <c r="O13" i="6"/>
  <c r="P13" i="6"/>
  <c r="Q13" i="6"/>
  <c r="R13" i="6"/>
  <c r="N14" i="6"/>
  <c r="S14" i="6" s="1"/>
  <c r="O14" i="6"/>
  <c r="P14" i="6"/>
  <c r="Q14" i="6"/>
  <c r="R14" i="6"/>
  <c r="N15" i="6"/>
  <c r="O15" i="6"/>
  <c r="P15" i="6"/>
  <c r="Q15" i="6"/>
  <c r="R15" i="6"/>
  <c r="N16" i="6"/>
  <c r="O16" i="6"/>
  <c r="P16" i="6"/>
  <c r="Q16" i="6"/>
  <c r="R16" i="6"/>
  <c r="N17" i="6"/>
  <c r="O17" i="6"/>
  <c r="P17" i="6"/>
  <c r="Q17" i="6"/>
  <c r="R17" i="6"/>
  <c r="N18" i="6"/>
  <c r="S18" i="6" s="1"/>
  <c r="O18" i="6"/>
  <c r="P18" i="6"/>
  <c r="Q18" i="6"/>
  <c r="R18" i="6"/>
  <c r="N19" i="6"/>
  <c r="O19" i="6"/>
  <c r="P19" i="6"/>
  <c r="Q19" i="6"/>
  <c r="R19" i="6"/>
  <c r="N20" i="6"/>
  <c r="O20" i="6"/>
  <c r="P20" i="6"/>
  <c r="Q20" i="6"/>
  <c r="R20" i="6"/>
  <c r="O6" i="6"/>
  <c r="P6" i="6"/>
  <c r="Q6" i="6"/>
  <c r="R6" i="6"/>
  <c r="N6" i="6"/>
  <c r="C21" i="6"/>
  <c r="D21" i="6"/>
  <c r="E21" i="6"/>
  <c r="F21" i="6"/>
  <c r="G21" i="6"/>
  <c r="H21" i="6"/>
  <c r="P21" i="6" s="1"/>
  <c r="I21" i="6"/>
  <c r="K22" i="6"/>
  <c r="K23" i="6"/>
  <c r="K46" i="6"/>
  <c r="S20" i="6" l="1"/>
  <c r="S16" i="6"/>
  <c r="S12" i="6"/>
  <c r="S8" i="6"/>
  <c r="S24" i="6"/>
  <c r="O21" i="6"/>
  <c r="S34" i="6"/>
  <c r="R36" i="7"/>
  <c r="M48" i="7"/>
  <c r="Q48" i="7"/>
  <c r="R48" i="7" s="1"/>
  <c r="S6" i="6"/>
  <c r="S19" i="6"/>
  <c r="S17" i="6"/>
  <c r="S15" i="6"/>
  <c r="S13" i="6"/>
  <c r="S11" i="6"/>
  <c r="S9" i="6"/>
  <c r="S7" i="6"/>
  <c r="N48" i="7"/>
  <c r="M51" i="7"/>
  <c r="P48" i="7"/>
  <c r="R50" i="7"/>
  <c r="Q4" i="7" s="1"/>
  <c r="I25" i="7"/>
  <c r="E25" i="7"/>
  <c r="B25" i="7"/>
  <c r="G25" i="7"/>
  <c r="C25" i="7"/>
  <c r="L16" i="7"/>
  <c r="R3" i="7" s="1"/>
  <c r="I24" i="7"/>
  <c r="D25" i="7"/>
  <c r="J24" i="7"/>
  <c r="F24" i="7"/>
  <c r="B24" i="7"/>
  <c r="L22" i="7"/>
  <c r="L20" i="7"/>
  <c r="L18" i="7"/>
  <c r="H24" i="7"/>
  <c r="D24" i="7"/>
  <c r="K24" i="7"/>
  <c r="G24" i="7"/>
  <c r="C24" i="7"/>
  <c r="L19" i="7"/>
  <c r="P3" i="7" s="1"/>
  <c r="P5" i="7" s="1"/>
  <c r="K25" i="7"/>
  <c r="L21" i="7"/>
  <c r="L17" i="7"/>
  <c r="O3" i="7" s="1"/>
  <c r="O5" i="7" s="1"/>
  <c r="S23" i="6"/>
  <c r="S22" i="6"/>
  <c r="K45" i="6"/>
  <c r="K49" i="6" s="1"/>
  <c r="S42" i="6"/>
  <c r="J49" i="6"/>
  <c r="Q21" i="6"/>
  <c r="K21" i="6"/>
  <c r="N21" i="6"/>
  <c r="S21" i="6" s="1"/>
  <c r="L25" i="7" l="1"/>
  <c r="R5" i="7"/>
  <c r="T4" i="7"/>
  <c r="R51" i="7"/>
  <c r="L24" i="7"/>
  <c r="Q3" i="7" s="1"/>
  <c r="T3" i="7" s="1"/>
  <c r="G54" i="5"/>
  <c r="F54" i="5"/>
  <c r="E54" i="5"/>
  <c r="D54" i="5"/>
  <c r="G53" i="5"/>
  <c r="G55" i="5" s="1"/>
  <c r="F53" i="5"/>
  <c r="E53" i="5"/>
  <c r="D53" i="5"/>
  <c r="C54" i="5"/>
  <c r="C59" i="5" s="1"/>
  <c r="C53" i="5"/>
  <c r="C58" i="5" s="1"/>
  <c r="D30" i="5"/>
  <c r="D32" i="5"/>
  <c r="D75" i="5" s="1"/>
  <c r="Q5" i="7" l="1"/>
  <c r="K3" i="5"/>
  <c r="C85" i="5"/>
  <c r="H53" i="5"/>
  <c r="D55" i="5"/>
  <c r="E55" i="5"/>
  <c r="F55" i="5"/>
  <c r="H54" i="5"/>
  <c r="C55" i="5"/>
  <c r="C60" i="5"/>
  <c r="C63" i="5" l="1"/>
  <c r="H55" i="5"/>
  <c r="D29" i="5" l="1"/>
  <c r="O9" i="3"/>
  <c r="N9" i="3"/>
  <c r="M9" i="3"/>
  <c r="L9" i="3"/>
  <c r="C31" i="5" l="1"/>
  <c r="C30" i="5"/>
  <c r="C89" i="5" s="1"/>
  <c r="F30" i="5" l="1"/>
  <c r="E30" i="5"/>
  <c r="D31" i="5"/>
  <c r="D74" i="5" s="1"/>
  <c r="C74" i="5"/>
  <c r="C32" i="5" l="1"/>
  <c r="C29" i="5"/>
  <c r="E29" i="5" l="1"/>
  <c r="F29" i="5"/>
  <c r="C84" i="5" s="1"/>
  <c r="C75" i="5"/>
  <c r="E32" i="5"/>
  <c r="F32" i="5"/>
  <c r="F37" i="5" s="1"/>
  <c r="F38" i="5" l="1"/>
  <c r="C91" i="5"/>
  <c r="C92" i="5" s="1"/>
  <c r="E75" i="5"/>
  <c r="F75" i="5"/>
  <c r="S44" i="6" l="1"/>
  <c r="F74" i="5"/>
  <c r="E74" i="5"/>
  <c r="D55" i="2" l="1"/>
  <c r="E55" i="2"/>
  <c r="F55" i="2"/>
  <c r="G55" i="2"/>
  <c r="H55" i="2"/>
  <c r="I55" i="2"/>
  <c r="J55" i="2"/>
  <c r="K55" i="2"/>
  <c r="L55" i="2"/>
  <c r="M55" i="2"/>
  <c r="N55" i="2"/>
  <c r="O55" i="2"/>
  <c r="P55" i="2"/>
  <c r="Q55" i="2"/>
  <c r="R55" i="2"/>
  <c r="S55" i="2"/>
  <c r="C55" i="2"/>
  <c r="D52" i="2"/>
  <c r="E52" i="2"/>
  <c r="F52" i="2"/>
  <c r="G52" i="2"/>
  <c r="H52" i="2"/>
  <c r="I52" i="2"/>
  <c r="J52" i="2"/>
  <c r="K52" i="2"/>
  <c r="L52" i="2"/>
  <c r="M52" i="2"/>
  <c r="N52" i="2"/>
  <c r="O52" i="2"/>
  <c r="P52" i="2"/>
  <c r="Q52" i="2"/>
  <c r="R52" i="2"/>
  <c r="S52" i="2"/>
  <c r="U52" i="2" s="1"/>
  <c r="D53" i="2"/>
  <c r="E53" i="2"/>
  <c r="F53" i="2"/>
  <c r="G53" i="2"/>
  <c r="H53" i="2"/>
  <c r="I53" i="2"/>
  <c r="J53" i="2"/>
  <c r="K53" i="2"/>
  <c r="L53" i="2"/>
  <c r="M53" i="2"/>
  <c r="N53" i="2"/>
  <c r="O53" i="2"/>
  <c r="P53" i="2"/>
  <c r="Q53" i="2"/>
  <c r="R53" i="2"/>
  <c r="S53" i="2"/>
  <c r="U53" i="2" s="1"/>
  <c r="C53" i="2"/>
  <c r="H10" i="2"/>
  <c r="I10" i="2" s="1"/>
  <c r="J10" i="2" s="1"/>
  <c r="K10" i="2" s="1"/>
  <c r="L10" i="2" s="1"/>
  <c r="M10" i="2" s="1"/>
  <c r="N10" i="2" s="1"/>
  <c r="O10" i="2" s="1"/>
  <c r="P10" i="2" s="1"/>
  <c r="Q10" i="2" s="1"/>
  <c r="R10" i="2" s="1"/>
  <c r="S10" i="2" s="1"/>
  <c r="G11" i="2"/>
  <c r="G47" i="2" s="1"/>
  <c r="G12" i="2"/>
  <c r="G45" i="2" s="1"/>
  <c r="G10" i="2"/>
  <c r="C52" i="2"/>
  <c r="S51" i="2"/>
  <c r="U51" i="2" s="1"/>
  <c r="R51" i="2"/>
  <c r="Q51" i="2"/>
  <c r="P51" i="2"/>
  <c r="O51" i="2"/>
  <c r="N51" i="2"/>
  <c r="M51" i="2"/>
  <c r="L51" i="2"/>
  <c r="K51" i="2"/>
  <c r="J51" i="2"/>
  <c r="I51" i="2"/>
  <c r="H51" i="2"/>
  <c r="G51" i="2"/>
  <c r="F51" i="2"/>
  <c r="E51" i="2"/>
  <c r="D51" i="2"/>
  <c r="C51" i="2"/>
  <c r="S50" i="2"/>
  <c r="R50" i="2"/>
  <c r="R57" i="2" s="1"/>
  <c r="Q50" i="2"/>
  <c r="Q57" i="2" s="1"/>
  <c r="P50" i="2"/>
  <c r="P57" i="2" s="1"/>
  <c r="O50" i="2"/>
  <c r="O57" i="2" s="1"/>
  <c r="N50" i="2"/>
  <c r="N57" i="2" s="1"/>
  <c r="M50" i="2"/>
  <c r="M57" i="2" s="1"/>
  <c r="L50" i="2"/>
  <c r="L57" i="2" s="1"/>
  <c r="K50" i="2"/>
  <c r="K57" i="2" s="1"/>
  <c r="J50" i="2"/>
  <c r="J57" i="2" s="1"/>
  <c r="I50" i="2"/>
  <c r="I57" i="2" s="1"/>
  <c r="H50" i="2"/>
  <c r="H57" i="2" s="1"/>
  <c r="G50" i="2"/>
  <c r="G57" i="2" s="1"/>
  <c r="F50" i="2"/>
  <c r="F57" i="2" s="1"/>
  <c r="F59" i="2" s="1"/>
  <c r="E50" i="2"/>
  <c r="D50" i="2"/>
  <c r="C50" i="2"/>
  <c r="S49" i="2"/>
  <c r="U49" i="2" s="1"/>
  <c r="R49" i="2"/>
  <c r="Q49" i="2"/>
  <c r="P49" i="2"/>
  <c r="O49" i="2"/>
  <c r="N49" i="2"/>
  <c r="M49" i="2"/>
  <c r="L49" i="2"/>
  <c r="K49" i="2"/>
  <c r="J49" i="2"/>
  <c r="I49" i="2"/>
  <c r="H49" i="2"/>
  <c r="G49" i="2"/>
  <c r="F49" i="2"/>
  <c r="E49" i="2"/>
  <c r="D49" i="2"/>
  <c r="C49" i="2"/>
  <c r="S48" i="2"/>
  <c r="U48" i="2" s="1"/>
  <c r="R48" i="2"/>
  <c r="Q48" i="2"/>
  <c r="P48" i="2"/>
  <c r="O48" i="2"/>
  <c r="N48" i="2"/>
  <c r="M48" i="2"/>
  <c r="L48" i="2"/>
  <c r="K48" i="2"/>
  <c r="J48" i="2"/>
  <c r="I48" i="2"/>
  <c r="H48" i="2"/>
  <c r="G48" i="2"/>
  <c r="F48" i="2"/>
  <c r="E48" i="2"/>
  <c r="D48" i="2"/>
  <c r="C48" i="2"/>
  <c r="F47" i="2"/>
  <c r="E47" i="2"/>
  <c r="D47" i="2"/>
  <c r="C47" i="2"/>
  <c r="S46" i="2"/>
  <c r="U46" i="2" s="1"/>
  <c r="R46" i="2"/>
  <c r="Q46" i="2"/>
  <c r="P46" i="2"/>
  <c r="O46" i="2"/>
  <c r="N46" i="2"/>
  <c r="M46" i="2"/>
  <c r="L46" i="2"/>
  <c r="K46" i="2"/>
  <c r="J46" i="2"/>
  <c r="I46" i="2"/>
  <c r="H46" i="2"/>
  <c r="G46" i="2"/>
  <c r="F46" i="2"/>
  <c r="E46" i="2"/>
  <c r="D46" i="2"/>
  <c r="C46" i="2"/>
  <c r="F45" i="2"/>
  <c r="E45" i="2"/>
  <c r="D45" i="2"/>
  <c r="C45" i="2"/>
  <c r="D44" i="2"/>
  <c r="E44" i="2"/>
  <c r="F44" i="2"/>
  <c r="G44" i="2"/>
  <c r="H44" i="2"/>
  <c r="I44" i="2"/>
  <c r="J44" i="2"/>
  <c r="K44" i="2"/>
  <c r="L44" i="2"/>
  <c r="M44" i="2"/>
  <c r="N44" i="2"/>
  <c r="O44" i="2"/>
  <c r="P44" i="2"/>
  <c r="Q44" i="2"/>
  <c r="R44" i="2"/>
  <c r="S44" i="2"/>
  <c r="U44" i="2" s="1"/>
  <c r="C44" i="2"/>
  <c r="U22" i="2"/>
  <c r="D25" i="2"/>
  <c r="E25" i="2"/>
  <c r="F25" i="2"/>
  <c r="G25" i="2"/>
  <c r="H25" i="2"/>
  <c r="I25" i="2"/>
  <c r="J25" i="2"/>
  <c r="K25" i="2"/>
  <c r="L25" i="2"/>
  <c r="M25" i="2"/>
  <c r="N25" i="2"/>
  <c r="O25" i="2"/>
  <c r="P25" i="2"/>
  <c r="Q25" i="2"/>
  <c r="R25" i="2"/>
  <c r="S25" i="2"/>
  <c r="C25" i="2"/>
  <c r="U17" i="2"/>
  <c r="U19" i="2"/>
  <c r="U23" i="2"/>
  <c r="U24" i="2"/>
  <c r="U15" i="2"/>
  <c r="S37" i="2"/>
  <c r="R37" i="2"/>
  <c r="Q37" i="2"/>
  <c r="P37" i="2"/>
  <c r="O37" i="2"/>
  <c r="N37" i="2"/>
  <c r="M37" i="2"/>
  <c r="L37" i="2"/>
  <c r="K37" i="2"/>
  <c r="J37" i="2"/>
  <c r="I37" i="2"/>
  <c r="H37" i="2"/>
  <c r="G37" i="2"/>
  <c r="F37" i="2"/>
  <c r="E37" i="2"/>
  <c r="D37" i="2"/>
  <c r="S36" i="2"/>
  <c r="R36" i="2"/>
  <c r="Q36" i="2"/>
  <c r="P36" i="2"/>
  <c r="O36" i="2"/>
  <c r="N36" i="2"/>
  <c r="M36" i="2"/>
  <c r="L36" i="2"/>
  <c r="K36" i="2"/>
  <c r="J36" i="2"/>
  <c r="I36" i="2"/>
  <c r="H36" i="2"/>
  <c r="S35" i="2"/>
  <c r="R35" i="2"/>
  <c r="Q35" i="2"/>
  <c r="P35" i="2"/>
  <c r="O35" i="2"/>
  <c r="N35" i="2"/>
  <c r="M35" i="2"/>
  <c r="L35" i="2"/>
  <c r="K35" i="2"/>
  <c r="J35" i="2"/>
  <c r="I35" i="2"/>
  <c r="H35" i="2"/>
  <c r="S33" i="2"/>
  <c r="R33" i="2"/>
  <c r="Q33" i="2"/>
  <c r="P33" i="2"/>
  <c r="O33" i="2"/>
  <c r="N33" i="2"/>
  <c r="M33" i="2"/>
  <c r="L33" i="2"/>
  <c r="K33" i="2"/>
  <c r="J33" i="2"/>
  <c r="I33" i="2"/>
  <c r="H33" i="2"/>
  <c r="G33" i="2"/>
  <c r="F33" i="2"/>
  <c r="E33" i="2"/>
  <c r="D33" i="2"/>
  <c r="S32" i="2"/>
  <c r="R32" i="2"/>
  <c r="Q32" i="2"/>
  <c r="P32" i="2"/>
  <c r="O32" i="2"/>
  <c r="N32" i="2"/>
  <c r="M32" i="2"/>
  <c r="L32" i="2"/>
  <c r="K32" i="2"/>
  <c r="J32" i="2"/>
  <c r="I32" i="2"/>
  <c r="H32" i="2"/>
  <c r="G32" i="2"/>
  <c r="F32" i="2"/>
  <c r="E32" i="2"/>
  <c r="D32" i="2"/>
  <c r="S31" i="2"/>
  <c r="R31" i="2"/>
  <c r="Q31" i="2"/>
  <c r="P31" i="2"/>
  <c r="O31" i="2"/>
  <c r="N31" i="2"/>
  <c r="M31" i="2"/>
  <c r="L31" i="2"/>
  <c r="K31" i="2"/>
  <c r="J31" i="2"/>
  <c r="I31" i="2"/>
  <c r="H31" i="2"/>
  <c r="G31" i="2"/>
  <c r="F31" i="2"/>
  <c r="E31" i="2"/>
  <c r="D31" i="2"/>
  <c r="S30" i="2"/>
  <c r="R30" i="2"/>
  <c r="Q30" i="2"/>
  <c r="P30" i="2"/>
  <c r="O30" i="2"/>
  <c r="N30" i="2"/>
  <c r="M30" i="2"/>
  <c r="L30" i="2"/>
  <c r="K30" i="2"/>
  <c r="J30" i="2"/>
  <c r="I30" i="2"/>
  <c r="H30" i="2"/>
  <c r="G30" i="2"/>
  <c r="F30" i="2"/>
  <c r="E30" i="2"/>
  <c r="D30" i="2"/>
  <c r="S29" i="2"/>
  <c r="R29" i="2"/>
  <c r="Q29" i="2"/>
  <c r="P29" i="2"/>
  <c r="O29" i="2"/>
  <c r="N29" i="2"/>
  <c r="M29" i="2"/>
  <c r="L29" i="2"/>
  <c r="K29" i="2"/>
  <c r="J29" i="2"/>
  <c r="I29" i="2"/>
  <c r="H29" i="2"/>
  <c r="G29" i="2"/>
  <c r="F29" i="2"/>
  <c r="E29" i="2"/>
  <c r="D29" i="2"/>
  <c r="F54" i="2" l="1"/>
  <c r="H11" i="2"/>
  <c r="D48" i="5"/>
  <c r="D59" i="5" s="1"/>
  <c r="U25" i="2"/>
  <c r="C54" i="2"/>
  <c r="D54" i="2"/>
  <c r="E54" i="2"/>
  <c r="S57" i="2"/>
  <c r="U50" i="2"/>
  <c r="D49" i="5"/>
  <c r="D58" i="5" s="1"/>
  <c r="G54" i="2"/>
  <c r="G56" i="2" s="1"/>
  <c r="H12" i="2"/>
  <c r="H45" i="2" s="1"/>
  <c r="G60" i="2" l="1"/>
  <c r="E49" i="5"/>
  <c r="E58" i="5" s="1"/>
  <c r="H47" i="2"/>
  <c r="D60" i="5"/>
  <c r="I11" i="2"/>
  <c r="E48" i="5"/>
  <c r="E59" i="5" s="1"/>
  <c r="E60" i="5" s="1"/>
  <c r="E63" i="5" s="1"/>
  <c r="G58" i="2"/>
  <c r="G59" i="2" s="1"/>
  <c r="I12" i="2"/>
  <c r="I45" i="2" s="1"/>
  <c r="F49" i="5" l="1"/>
  <c r="F58" i="5" s="1"/>
  <c r="I47" i="2"/>
  <c r="H54" i="2"/>
  <c r="H56" i="2" s="1"/>
  <c r="J11" i="2"/>
  <c r="F48" i="5"/>
  <c r="F59" i="5" s="1"/>
  <c r="D63" i="5"/>
  <c r="J12" i="2"/>
  <c r="J45" i="2" s="1"/>
  <c r="H60" i="2" l="1"/>
  <c r="I54" i="2"/>
  <c r="I56" i="2" s="1"/>
  <c r="I58" i="2" s="1"/>
  <c r="G49" i="5"/>
  <c r="G58" i="5" s="1"/>
  <c r="H58" i="5" s="1"/>
  <c r="J47" i="2"/>
  <c r="H58" i="2"/>
  <c r="H59" i="2" s="1"/>
  <c r="K11" i="2"/>
  <c r="L11" i="2" s="1"/>
  <c r="M11" i="2" s="1"/>
  <c r="N11" i="2" s="1"/>
  <c r="O11" i="2" s="1"/>
  <c r="P11" i="2" s="1"/>
  <c r="Q11" i="2" s="1"/>
  <c r="R11" i="2" s="1"/>
  <c r="S11" i="2" s="1"/>
  <c r="G48" i="5"/>
  <c r="G59" i="5" s="1"/>
  <c r="G60" i="5" s="1"/>
  <c r="G63" i="5" s="1"/>
  <c r="F60" i="5"/>
  <c r="K12" i="2"/>
  <c r="K47" i="2" l="1"/>
  <c r="K54" i="2" s="1"/>
  <c r="K56" i="2" s="1"/>
  <c r="K58" i="2" s="1"/>
  <c r="K45" i="2"/>
  <c r="I60" i="2"/>
  <c r="I59" i="2"/>
  <c r="J54" i="2"/>
  <c r="J56" i="2" s="1"/>
  <c r="J58" i="2" s="1"/>
  <c r="H59" i="5"/>
  <c r="F63" i="5"/>
  <c r="H60" i="5"/>
  <c r="H63" i="5" s="1"/>
  <c r="C83" i="5" s="1"/>
  <c r="C86" i="5" s="1"/>
  <c r="C94" i="5" s="1"/>
  <c r="L12" i="2"/>
  <c r="L47" i="2" l="1"/>
  <c r="L54" i="2" s="1"/>
  <c r="L56" i="2" s="1"/>
  <c r="L58" i="2" s="1"/>
  <c r="L45" i="2"/>
  <c r="J59" i="2"/>
  <c r="K59" i="2" s="1"/>
  <c r="K60" i="2"/>
  <c r="J60" i="2"/>
  <c r="B70" i="2"/>
  <c r="H64" i="5"/>
  <c r="D72" i="5"/>
  <c r="C73" i="5"/>
  <c r="C72" i="5"/>
  <c r="M12" i="2"/>
  <c r="M47" i="2" l="1"/>
  <c r="M54" i="2" s="1"/>
  <c r="M56" i="2" s="1"/>
  <c r="M58" i="2" s="1"/>
  <c r="M45" i="2"/>
  <c r="B65" i="2"/>
  <c r="J61" i="2"/>
  <c r="L60" i="2"/>
  <c r="L59" i="2"/>
  <c r="D73" i="5"/>
  <c r="L3" i="5" s="1"/>
  <c r="F72" i="5"/>
  <c r="E72" i="5"/>
  <c r="N12" i="2"/>
  <c r="N47" i="2" l="1"/>
  <c r="N45" i="2"/>
  <c r="M60" i="2"/>
  <c r="M59" i="2"/>
  <c r="E73" i="5"/>
  <c r="F73" i="5"/>
  <c r="O12" i="2"/>
  <c r="N54" i="2" l="1"/>
  <c r="N56" i="2" s="1"/>
  <c r="N58" i="2" s="1"/>
  <c r="N59" i="2" s="1"/>
  <c r="O47" i="2"/>
  <c r="O54" i="2" s="1"/>
  <c r="O56" i="2" s="1"/>
  <c r="O45" i="2"/>
  <c r="P12" i="2"/>
  <c r="N60" i="2" l="1"/>
  <c r="P47" i="2"/>
  <c r="P54" i="2" s="1"/>
  <c r="P56" i="2" s="1"/>
  <c r="P45" i="2"/>
  <c r="O58" i="2"/>
  <c r="O59" i="2" s="1"/>
  <c r="O60" i="2"/>
  <c r="Q12" i="2"/>
  <c r="Q47" i="2" l="1"/>
  <c r="Q54" i="2" s="1"/>
  <c r="Q56" i="2" s="1"/>
  <c r="Q45" i="2"/>
  <c r="P58" i="2"/>
  <c r="P59" i="2" s="1"/>
  <c r="P60" i="2"/>
  <c r="R12" i="2"/>
  <c r="R45" i="2" s="1"/>
  <c r="Q58" i="2" l="1"/>
  <c r="Q59" i="2" s="1"/>
  <c r="Q60" i="2"/>
  <c r="S12" i="2"/>
  <c r="R47" i="2"/>
  <c r="S47" i="2" l="1"/>
  <c r="U47" i="2" s="1"/>
  <c r="S45" i="2"/>
  <c r="R54" i="2"/>
  <c r="R56" i="2" s="1"/>
  <c r="U45" i="2"/>
  <c r="S54" i="2" l="1"/>
  <c r="S56" i="2" s="1"/>
  <c r="S58" i="2"/>
  <c r="S60" i="2"/>
  <c r="R58" i="2"/>
  <c r="R59" i="2" s="1"/>
  <c r="R60" i="2"/>
  <c r="U54" i="2"/>
  <c r="S59" i="2" l="1"/>
</calcChain>
</file>

<file path=xl/sharedStrings.xml><?xml version="1.0" encoding="utf-8"?>
<sst xmlns="http://schemas.openxmlformats.org/spreadsheetml/2006/main" count="366" uniqueCount="215">
  <si>
    <t>Annual % changes</t>
  </si>
  <si>
    <t>Total Population (thousands)</t>
  </si>
  <si>
    <t>Core Crown Table</t>
  </si>
  <si>
    <t>Core Crown transfer payments and subsidies</t>
  </si>
  <si>
    <t>Core Crown Personnel expenses</t>
  </si>
  <si>
    <t>Core Crown Depreciation and amortisation</t>
  </si>
  <si>
    <t>Core Crown Other operating expenses</t>
  </si>
  <si>
    <t>Core Crown Interest expenses (also called Finance costs)</t>
  </si>
  <si>
    <t>Core Crown Insurance expenses</t>
  </si>
  <si>
    <t>Forecasting new operating spending Operating allowances</t>
  </si>
  <si>
    <t>Top-down expense adjustment Operating allowance annual increments to maintain net debt as percentage of GDP</t>
  </si>
  <si>
    <t>Core Crown interest payments with 20% of GDP floor for GSID</t>
  </si>
  <si>
    <t>Core Crown interest payments with no minimum restriction on debt</t>
  </si>
  <si>
    <t>Total of above Core Crown Expense items</t>
  </si>
  <si>
    <t>Core Crown expenses (excluding Losses  excluding new op allowances and adju)</t>
  </si>
  <si>
    <t>Transfer payments and subsidies</t>
  </si>
  <si>
    <t>Personnel expenses</t>
  </si>
  <si>
    <t>Depreciation and amortisation</t>
  </si>
  <si>
    <t>Other operating expenses</t>
  </si>
  <si>
    <t>Interest expenses</t>
  </si>
  <si>
    <t>Insurance expenses</t>
  </si>
  <si>
    <t>Forecast new operating spending</t>
  </si>
  <si>
    <t>Top-down expense adjustment</t>
  </si>
  <si>
    <t>Total expenses (excluding losses)</t>
  </si>
  <si>
    <t>Annual percentage changes</t>
  </si>
  <si>
    <t>CORE CROWN</t>
  </si>
  <si>
    <t>2031/2018</t>
  </si>
  <si>
    <t>PREFU 2017 Core Crown Expenses (including new op allowancs and adj)</t>
  </si>
  <si>
    <t>Inflation increment to personnel and other operating expenses</t>
  </si>
  <si>
    <t>Degree to which PREFU2017 new spending provision exceeds inflation costs nei</t>
  </si>
  <si>
    <t>Cumulative degree</t>
  </si>
  <si>
    <t>Degree to which the cumulative new operating provision to 2022 in PREFU2017 exceeds the need to provide for inflation nei</t>
  </si>
  <si>
    <t>Cumultative Growth rates from 2018</t>
  </si>
  <si>
    <t xml:space="preserve">Consumers Price Index (CPI) </t>
  </si>
  <si>
    <t>Average hourly wage growth (ordinary time measure)</t>
  </si>
  <si>
    <t>Total Population</t>
  </si>
  <si>
    <t>Inflation increments for personnel from 2018  - assume to be average hourly wage rate</t>
  </si>
  <si>
    <t>Inflation increments for other operating spending assume to be:</t>
  </si>
  <si>
    <t>Increment</t>
  </si>
  <si>
    <t>PREFU</t>
  </si>
  <si>
    <t>2015</t>
  </si>
  <si>
    <t>2016</t>
  </si>
  <si>
    <t>2017</t>
  </si>
  <si>
    <t>2018</t>
  </si>
  <si>
    <t>2019</t>
  </si>
  <si>
    <t>2020</t>
  </si>
  <si>
    <t>2021</t>
  </si>
  <si>
    <t>Actual</t>
  </si>
  <si>
    <t>Forecast</t>
  </si>
  <si>
    <t>Social security and welfare</t>
  </si>
  <si>
    <t>Health</t>
  </si>
  <si>
    <t>Education</t>
  </si>
  <si>
    <t>Core government services</t>
  </si>
  <si>
    <t>Law and order</t>
  </si>
  <si>
    <t>Transport and communications</t>
  </si>
  <si>
    <t>Economic and industrial services</t>
  </si>
  <si>
    <t>Defence</t>
  </si>
  <si>
    <t>Heritage, culture and recreation</t>
  </si>
  <si>
    <t>Primary services</t>
  </si>
  <si>
    <t>Housing and community development</t>
  </si>
  <si>
    <t>Environmental protection</t>
  </si>
  <si>
    <t>GSF pension expenses</t>
  </si>
  <si>
    <t>Other</t>
  </si>
  <si>
    <t>Finance costs</t>
  </si>
  <si>
    <t>-</t>
  </si>
  <si>
    <t xml:space="preserve"> ..  </t>
  </si>
  <si>
    <t>Total</t>
  </si>
  <si>
    <t xml:space="preserve">Source: Page 100 of </t>
  </si>
  <si>
    <t xml:space="preserve">http://www.treasury.govt.nz/budget/forecasts/prefu2017/prefu17.pdf </t>
  </si>
  <si>
    <t>Labour's</t>
  </si>
  <si>
    <t xml:space="preserve">Source: Page 16 of </t>
  </si>
  <si>
    <t>https://d3n8a8pro7vhmx.cloudfront.net/nzlabour/pages/8301/attachments/original/1504048898/20170829_-_Labour's_Fiscal_Plan.pdf?1504048898</t>
  </si>
  <si>
    <t>Difference ($m)</t>
  </si>
  <si>
    <t>Subtotal</t>
  </si>
  <si>
    <t>Families Package</t>
  </si>
  <si>
    <t>Labour policy plans</t>
  </si>
  <si>
    <t>% of GDP</t>
  </si>
  <si>
    <t>Net core Crown debt ($m)</t>
  </si>
  <si>
    <t>Core Crown expenses ($m)</t>
  </si>
  <si>
    <t>Reduction in new op provisions</t>
  </si>
  <si>
    <t>5-Yr Sum</t>
  </si>
  <si>
    <t>OBEGAL</t>
  </si>
  <si>
    <t>Labour's Plan</t>
  </si>
  <si>
    <t>PREFU207</t>
  </si>
  <si>
    <t xml:space="preserve">Difference </t>
  </si>
  <si>
    <t xml:space="preserve">Cumulative cost escalation to 2022 </t>
  </si>
  <si>
    <t xml:space="preserve">Pre-Election Update </t>
  </si>
  <si>
    <t>Labour</t>
  </si>
  <si>
    <t>(1) Line items such as health, education, welfare</t>
  </si>
  <si>
    <t>(2) Unallocated spending provisions</t>
  </si>
  <si>
    <t>Total Crown Spending on:</t>
  </si>
  <si>
    <t>Labour's increase</t>
  </si>
  <si>
    <t>%</t>
  </si>
  <si>
    <t>(4) Increased taxes</t>
  </si>
  <si>
    <t>(5) Reduced surpluses (OBEGAL)</t>
  </si>
  <si>
    <t>Projected Spending 2018-2022 ($ million)</t>
  </si>
  <si>
    <t>Average hourly wage growth</t>
  </si>
  <si>
    <t>Average annual increases used in Pre-Election update</t>
  </si>
  <si>
    <t>Cumulative rise from 2018</t>
  </si>
  <si>
    <t>Major items in Pre-Election update that do not incorprate any allowance for inflation beyond 2018</t>
  </si>
  <si>
    <t>Prefu projected spending ($ milllion)</t>
  </si>
  <si>
    <t>Row Total</t>
  </si>
  <si>
    <t>Total of these two items</t>
  </si>
  <si>
    <t>Implied actual (nominal) spending if personnel expenses incorporate wage rate rises and other operating expenses the CPI</t>
  </si>
  <si>
    <t>Extra spending due to wage and price inflation</t>
  </si>
  <si>
    <t>$ million</t>
  </si>
  <si>
    <t>Box 1: What Labour &amp; BERL think is the situation</t>
  </si>
  <si>
    <t>The problem with Labour's budget numbers</t>
  </si>
  <si>
    <t>Box 2: Inflation rates used in Pre-election updates to forecast revenues etc, and their implications for unallocated spending</t>
  </si>
  <si>
    <r>
      <rPr>
        <b/>
        <sz val="11"/>
        <color theme="1"/>
        <rFont val="Calibri"/>
        <family val="2"/>
        <scheme val="minor"/>
      </rPr>
      <t>Box 1</t>
    </r>
    <r>
      <rPr>
        <sz val="11"/>
        <color theme="1"/>
        <rFont val="Calibri"/>
        <family val="2"/>
        <scheme val="minor"/>
      </rPr>
      <t xml:space="preserve"> below summarises Labour's budget as Labour has presented it</t>
    </r>
  </si>
  <si>
    <t>(6) Line items such as health, education, welfare</t>
  </si>
  <si>
    <t>(7) Unallocated spending provisions</t>
  </si>
  <si>
    <t>(8) =(1+2) Total operating spending</t>
  </si>
  <si>
    <t>Commentary</t>
  </si>
  <si>
    <t>The calculations</t>
  </si>
  <si>
    <t>(3) Top-down spending adjustment</t>
  </si>
  <si>
    <t>(4)  Total operating spending</t>
  </si>
  <si>
    <t>(8) Top down spending adjustment</t>
  </si>
  <si>
    <t>Note that the - $3,171 in this table is a residual, which is what BERL said it was in responding to Joyce.</t>
  </si>
  <si>
    <t>Labour's increase (+)</t>
  </si>
  <si>
    <t>Box 3: Box 1 with $10.7 billion shifted from line 2 to line 1</t>
  </si>
  <si>
    <t>So how much of the $19.3 billion provision could be needed to cover cost increases in Prefu spending?</t>
  </si>
  <si>
    <t>Figures taken from Treasury's FSM model (pre-election version).</t>
  </si>
  <si>
    <t>Labour plans to fund this increased net spending of $11,740 million by:</t>
  </si>
  <si>
    <t>Check: Cumulative Inflation Increment to forecast new spending</t>
  </si>
  <si>
    <t>PREFU 2017 Forecasting new operating spending</t>
  </si>
  <si>
    <t>Sensitivity to the infuences of wage rate rises on other operating costs</t>
  </si>
  <si>
    <t>Check sum:</t>
  </si>
  <si>
    <r>
      <rPr>
        <b/>
        <sz val="11"/>
        <color theme="1"/>
        <rFont val="Calibri"/>
        <family val="2"/>
        <scheme val="minor"/>
      </rPr>
      <t>Box 3</t>
    </r>
    <r>
      <rPr>
        <sz val="11"/>
        <color theme="1"/>
        <rFont val="Calibri"/>
        <family val="2"/>
        <scheme val="minor"/>
      </rPr>
      <t xml:space="preserve"> recasts the spending section in  Box 1 shifting $10.7 billion from line 2 to line 1.  This assumes that Labour intends to maintain spending on programmes already in the pre-election upate.</t>
    </r>
  </si>
  <si>
    <t>Cumulative 'fat' to 2022 in Prefu's provisions for new operating spending. Column headings are for CPI weight in cost inflation index for other operating spending</t>
  </si>
  <si>
    <t>Cumulative amount of Prefu's provisions for new operating spending to 2022 that are needed for cost escalation on existing programmes. Column headings are for CPI weight in cost inflation index for other operating spending</t>
  </si>
  <si>
    <t>Labour's Fiscal Plan and Prefu2017 Total Crown.</t>
  </si>
  <si>
    <t>2022 FSM model</t>
  </si>
  <si>
    <t>Total Crown - years ended June, $ million</t>
  </si>
  <si>
    <t>Additional Spending (+) by Labour</t>
  </si>
  <si>
    <t>5 Yr Sum</t>
  </si>
  <si>
    <t>Labour's Fiscal Plan</t>
  </si>
  <si>
    <t>Year Ended June</t>
  </si>
  <si>
    <t>Page 16: Its fiscal forecasts</t>
  </si>
  <si>
    <t>Page 14 - its "new investments", and additional revenue</t>
  </si>
  <si>
    <t>These nos all from page 14 of the plan</t>
  </si>
  <si>
    <t>Note that the page 16 nos imply a $23.5 billion increase</t>
  </si>
  <si>
    <t>All additional  spending commitments</t>
  </si>
  <si>
    <t>Additional Revenue</t>
  </si>
  <si>
    <t>"By choosing to reject tax cuts, Labour can deliver $8bn more for health, $6bn more for education, and $5bn more for our most vulnerable families." Arden p 4 of the plan. (No mean feat on $9.7 billion of additional revenue.)</t>
  </si>
  <si>
    <t>"The last nine years have seen a systematic under-funding of core public and social services by the National government." Robertson p 6.</t>
  </si>
  <si>
    <t>Page 4 of the Plan</t>
  </si>
  <si>
    <t>Page 6 of the Plan</t>
  </si>
  <si>
    <t>Labour intends its operating allowances to be available for additional new policy spending"</t>
  </si>
  <si>
    <t xml:space="preserve">Electronic version </t>
  </si>
  <si>
    <t>This worksheet contains copies of the following material from the Plan</t>
  </si>
  <si>
    <t>1. Jacinta Adern's introduction p 4</t>
  </si>
  <si>
    <t>2. Grant Robertson's overview, p 6.</t>
  </si>
  <si>
    <t>4. Consolidated table of planned spending p 16.</t>
  </si>
  <si>
    <t>3. Line item details of new investments p 14.</t>
  </si>
  <si>
    <t>5 Extract from the electronic version of Labour's plan p 14.</t>
  </si>
  <si>
    <t>1.) The announced new spending is being thought of as additional to PREFU programmes</t>
  </si>
  <si>
    <t xml:space="preserve">Note also the heading to the table on p 14. </t>
  </si>
  <si>
    <t>Three points come through:</t>
  </si>
  <si>
    <t>3.) Labour is not signalling that it intends fiscal stringency over core public services:</t>
  </si>
  <si>
    <t>2). Labour sees is "operating allowance" as being available for funding</t>
  </si>
  <si>
    <t>new unannounced spending programmes</t>
  </si>
  <si>
    <t>It promises specific new spending over 5 years of $23.5 billion.</t>
  </si>
  <si>
    <t>It funds that by carving $11.7 billion out of Prefu unallocated spending provisions for new policies and cost increases, $9.7 billion in new taxes and $2.0 billion from reduced surpluses (more debt)</t>
  </si>
  <si>
    <t>Historical Total Crown Expenses - by spending category</t>
  </si>
  <si>
    <t>Total Crown Expenses ($m)</t>
  </si>
  <si>
    <t>Trend values</t>
  </si>
  <si>
    <t>Trend Growth rates</t>
  </si>
  <si>
    <t>Fiscal Strategy Model = Total Crown expenses from 2018-2022</t>
  </si>
  <si>
    <t>Total Crown Operating Expenses</t>
  </si>
  <si>
    <t>Total of above row items</t>
  </si>
  <si>
    <t>Personnel + Other operating</t>
  </si>
  <si>
    <t>Transfer + depreciation</t>
  </si>
  <si>
    <t>2018-2022</t>
  </si>
  <si>
    <t>2007-2016</t>
  </si>
  <si>
    <t>Transfer payments &amp; subsidies</t>
  </si>
  <si>
    <t>Change</t>
  </si>
  <si>
    <t>Summary table for trend growth rates</t>
  </si>
  <si>
    <t>Gap</t>
  </si>
  <si>
    <t>Data for chart below, assuming Labour plans to fully fund the programmes in Prefu without cutting volumes while paying high wages and prices beyond 2018.</t>
  </si>
  <si>
    <t>Click here to see this 0.5% pa figure.</t>
  </si>
  <si>
    <t>Prefu2017 could fund such increases from its unallocated spending provision of $19.262 million in Box 1. Labour does not seem to have appreciated that much of this provision would likely be needed to cover the projected inflation rates in Prefu.</t>
  </si>
  <si>
    <r>
      <rPr>
        <b/>
        <sz val="11"/>
        <color theme="1"/>
        <rFont val="Calibri"/>
        <family val="2"/>
        <scheme val="minor"/>
      </rPr>
      <t>Box 2</t>
    </r>
    <r>
      <rPr>
        <sz val="11"/>
        <color theme="1"/>
        <rFont val="Calibri"/>
        <family val="2"/>
        <scheme val="minor"/>
      </rPr>
      <t xml:space="preserve"> below provides an indicative answer of $10.7 billion, ie of the order of 60 percent. Note that it only inflates the Core Crown estimates rather than the large total Crown ones.</t>
    </r>
  </si>
  <si>
    <t>Labour's cumulative Allowance for future spending  to 2021-22 ($m) before and after providing for cost escalation on existing programmes.</t>
  </si>
  <si>
    <r>
      <t xml:space="preserve">The </t>
    </r>
    <r>
      <rPr>
        <u/>
        <sz val="11"/>
        <color theme="1"/>
        <rFont val="Calibri"/>
        <family val="2"/>
        <scheme val="minor"/>
      </rPr>
      <t>'Labour fiscal plan</t>
    </r>
    <r>
      <rPr>
        <sz val="11"/>
        <color theme="1"/>
        <rFont val="Calibri"/>
        <family val="2"/>
        <scheme val="minor"/>
      </rPr>
      <t>' tab copies relevant parts of Labour's fiscal plan and draws three main inferences: It intends its fiscal plan to suffice to fund all spending in Prefu2017 to 2022 plus around $22-23 billion of new spending the plan identifies, plus provisions for further yet unidentified spending of $7.5 billion. All this with additioinal reveunue compared to Prefu2017 of only $9.7 billion, and only $2.0 billion at the expense of OBEGAL.</t>
    </r>
  </si>
  <si>
    <t>What this file contains</t>
  </si>
  <si>
    <r>
      <t xml:space="preserve">The </t>
    </r>
    <r>
      <rPr>
        <u/>
        <sz val="11"/>
        <color theme="1"/>
        <rFont val="Calibri"/>
        <family val="2"/>
        <scheme val="minor"/>
      </rPr>
      <t>'LFP &amp; Total Crown</t>
    </r>
    <r>
      <rPr>
        <sz val="11"/>
        <color theme="1"/>
        <rFont val="Calibri"/>
        <family val="2"/>
        <scheme val="minor"/>
      </rPr>
      <t>' tab puts the table on page 16 of Labour's plan alongside Prefu2017 for total Crown expenses.</t>
    </r>
  </si>
  <si>
    <t>The problem is that Labour's budget provides for wage and price increases after 2018 to increase revenue from PAYE and GST etc, but it does not provide for it to fund wage rate increases for public servants and price increases for other operating spending, unless it aims to cut the number of public servants or the volume of that other spending.</t>
  </si>
  <si>
    <t xml:space="preserve">The issue arises because Prefu2017's projections beyond 2018 for personnel expenses and for other operating costs do not does not provide materially, if at all, for wage and price inflation. This is the primary reason why total Crown spending on these two items combined is projected to grow by only 0.5% pa between 2018 and 2022 compared to a historical growth rate of 3.3% pa. </t>
  </si>
  <si>
    <r>
      <t xml:space="preserve">If Labour intended its $7.5 billion provision to be available for funding cost increases on existing policies after 2018, it will overshoot its planned spending target by </t>
    </r>
    <r>
      <rPr>
        <b/>
        <sz val="11"/>
        <color theme="1"/>
        <rFont val="Calibri"/>
        <family val="2"/>
        <scheme val="minor"/>
      </rPr>
      <t>$3.2 billion</t>
    </r>
    <r>
      <rPr>
        <sz val="11"/>
        <color theme="1"/>
        <rFont val="Calibri"/>
        <family val="2"/>
        <scheme val="minor"/>
      </rPr>
      <t>.</t>
    </r>
  </si>
  <si>
    <r>
      <t xml:space="preserve">However, it is  clear that its $7.5 billion provision is for unannounced new spending. If so is revenue shortfall is $7.5+3.2 = </t>
    </r>
    <r>
      <rPr>
        <b/>
        <sz val="11"/>
        <color theme="1"/>
        <rFont val="Calibri"/>
        <family val="2"/>
        <scheme val="minor"/>
      </rPr>
      <t>$10.7 billion</t>
    </r>
    <r>
      <rPr>
        <sz val="11"/>
        <color theme="1"/>
        <rFont val="Calibri"/>
        <family val="2"/>
        <scheme val="minor"/>
      </rPr>
      <t>.</t>
    </r>
  </si>
  <si>
    <t>(Here is an intuitive explanation of why it is such a big number. In 2018, combined spending on core Crown personnel and other operating spending is $50 billion. CPI inflation is roughly 2% pa.  So for  2019 $1 billion more revnue is required to fund existing programmes - and it is needed for each of the next three years too, making $4 billion cumulatively to 2022. In 2020 another $1 billion is needed, this time for three years.  That is 4+3 = 7 cumulative. In 2021 another billion is needed, for each of two years, 7+2 =9 cumulative.  In 2022 another $1 billion is needed, 9+1 =10 cumulative.  Using the actual numbers in Prefu2017 and compoounding produces the $10.7 billlion estimate.</t>
  </si>
  <si>
    <r>
      <t>The '</t>
    </r>
    <r>
      <rPr>
        <u/>
        <sz val="11"/>
        <color theme="1"/>
        <rFont val="Calibri"/>
        <family val="2"/>
        <scheme val="minor"/>
      </rPr>
      <t>Historical Growth'</t>
    </r>
    <r>
      <rPr>
        <sz val="11"/>
        <color theme="1"/>
        <rFont val="Calibri"/>
        <family val="2"/>
        <scheme val="minor"/>
      </rPr>
      <t xml:space="preserve"> tab illustrates the extent to which omitting estimates of future cost inflation from personnel and other operating expenses beyond 2018 causes the estimated growth in nominal spending on these items to slump compared to both their past growth rates and relative to the growth rate for transfer payments.</t>
    </r>
  </si>
  <si>
    <r>
      <t>The '</t>
    </r>
    <r>
      <rPr>
        <u/>
        <sz val="11"/>
        <color theme="1"/>
        <rFont val="Calibri"/>
        <family val="2"/>
        <scheme val="minor"/>
      </rPr>
      <t>Core Crown</t>
    </r>
    <r>
      <rPr>
        <sz val="11"/>
        <color theme="1"/>
        <rFont val="Calibri"/>
        <family val="2"/>
        <scheme val="minor"/>
      </rPr>
      <t>' tab shows how much greater core Crown spending on personnel and other operating expenses could be if wage rate increases for personnel match Prefu's wage rate forecasts beyond 2018 and cost inflation for other operating expenses matches  Prefu's CPI forecasts.</t>
    </r>
  </si>
  <si>
    <t>Core Crown Expenses if shaded ones experience cost inflation beyond 2018</t>
  </si>
  <si>
    <t>(1) To fund existing programmes for wage and cost inflation beyond 2017-8?</t>
  </si>
  <si>
    <t>Sources of funding in Labour's Plan</t>
  </si>
  <si>
    <t>Required Funding</t>
  </si>
  <si>
    <t>Increased operating revenue</t>
  </si>
  <si>
    <t>Reduced surpluses (OBEGAL)</t>
  </si>
  <si>
    <t>Available Funding</t>
  </si>
  <si>
    <t>Shortfall</t>
  </si>
  <si>
    <t>(2) To fund new additional line item spending</t>
  </si>
  <si>
    <t>Data source</t>
  </si>
  <si>
    <t>Estimated from Prefu's wage and price inflation rates</t>
  </si>
  <si>
    <t>Labour's plan, page 16</t>
  </si>
  <si>
    <t>Prefu2017</t>
  </si>
  <si>
    <t>Cumulative fiscal cost 2018-2022 ($bn)</t>
  </si>
  <si>
    <t>Labour's Plan, page 14</t>
  </si>
  <si>
    <t>Prefu2017 unallocated operating spending</t>
  </si>
  <si>
    <t>Labour's Plan, page 9</t>
  </si>
  <si>
    <t>Tables illustrating different growth rates between historic series (that includes inflation) and forecast series beyond 2018 that do not.</t>
  </si>
  <si>
    <t>(3) Spending allowance for "unannounced policies"</t>
  </si>
  <si>
    <t>Labour's plan, page 16, New Investments web page</t>
  </si>
  <si>
    <t>What are Labour's actual intentions for new and existing operational spending?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</si>
</sst>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_(* \(#,##0.00\);_(* &quot;-&quot;??_);_(@_)"/>
    <numFmt numFmtId="164" formatCode="0.0%"/>
    <numFmt numFmtId="165" formatCode="0.000"/>
    <numFmt numFmtId="166" formatCode="&quot;$&quot;#,##0.00"/>
    <numFmt numFmtId="167" formatCode="#,##0_ ;[Red]\-#,##0\ "/>
    <numFmt numFmtId="168" formatCode="&quot;$&quot;#,##0"/>
    <numFmt numFmtId="169" formatCode="#,##0.0"/>
    <numFmt numFmtId="170" formatCode="0.0"/>
    <numFmt numFmtId="171" formatCode="_(* #,##0.0_);_(* \(#,##0.0\);_(* &quot;-&quot;??_);_(@_)"/>
    <numFmt numFmtId="172" formatCode="_(* #,##0_);_(* \(#,##0\);_(* &quot;-&quot;??_);_(@_)"/>
    <numFmt numFmtId="173" formatCode="&quot;$&quot;#,##0.0"/>
  </numFmts>
  <fonts count="30" x14ac:knownFonts="1">
    <font>
      <sz val="11"/>
      <color theme="1"/>
      <name val="Calibri"/>
      <family val="2"/>
      <scheme val="minor"/>
    </font>
    <font>
      <sz val="11"/>
      <color theme="1"/>
      <name val="Calibri"/>
      <family val="2"/>
      <scheme val="minor"/>
    </font>
    <font>
      <b/>
      <sz val="11"/>
      <color theme="1"/>
      <name val="Calibri"/>
      <family val="2"/>
      <scheme val="minor"/>
    </font>
    <font>
      <sz val="11"/>
      <color rgb="FF0000FF"/>
      <name val="Arial"/>
      <family val="2"/>
    </font>
    <font>
      <sz val="11"/>
      <color rgb="FFFF0000"/>
      <name val="Arial"/>
      <family val="2"/>
    </font>
    <font>
      <sz val="11"/>
      <color theme="1"/>
      <name val="Arial"/>
      <family val="2"/>
    </font>
    <font>
      <sz val="11"/>
      <color rgb="FFFF0000"/>
      <name val="Calibri"/>
      <family val="2"/>
      <scheme val="minor"/>
    </font>
    <font>
      <b/>
      <sz val="11"/>
      <color theme="1"/>
      <name val="Arial"/>
      <family val="2"/>
    </font>
    <font>
      <b/>
      <sz val="11"/>
      <name val="Arial"/>
      <family val="2"/>
    </font>
    <font>
      <b/>
      <sz val="11"/>
      <color rgb="FFFF0000"/>
      <name val="Calibri"/>
      <family val="2"/>
      <scheme val="minor"/>
    </font>
    <font>
      <sz val="9"/>
      <color theme="1"/>
      <name val="Arial"/>
      <family val="2"/>
    </font>
    <font>
      <b/>
      <sz val="11"/>
      <color rgb="FF7030A0"/>
      <name val="Arial"/>
      <family val="2"/>
    </font>
    <font>
      <u/>
      <sz val="11"/>
      <color theme="10"/>
      <name val="Calibri"/>
      <family val="2"/>
      <scheme val="minor"/>
    </font>
    <font>
      <b/>
      <u/>
      <sz val="11"/>
      <color theme="1"/>
      <name val="Arial"/>
      <family val="2"/>
    </font>
    <font>
      <u/>
      <sz val="11"/>
      <color theme="10"/>
      <name val="Arial"/>
      <family val="2"/>
    </font>
    <font>
      <sz val="10"/>
      <color theme="1"/>
      <name val="Arial"/>
      <family val="2"/>
    </font>
    <font>
      <i/>
      <sz val="11"/>
      <color theme="1"/>
      <name val="Arial"/>
      <family val="2"/>
    </font>
    <font>
      <b/>
      <sz val="14"/>
      <color theme="1"/>
      <name val="Calibri"/>
      <family val="2"/>
      <scheme val="minor"/>
    </font>
    <font>
      <i/>
      <sz val="11"/>
      <color theme="1"/>
      <name val="Calibri"/>
      <family val="2"/>
      <scheme val="minor"/>
    </font>
    <font>
      <b/>
      <sz val="16"/>
      <color theme="1"/>
      <name val="Calibri"/>
      <family val="2"/>
      <scheme val="minor"/>
    </font>
    <font>
      <b/>
      <sz val="14"/>
      <color theme="3"/>
      <name val="Calibri"/>
      <family val="2"/>
      <scheme val="minor"/>
    </font>
    <font>
      <b/>
      <sz val="11"/>
      <color theme="7" tint="-0.249977111117893"/>
      <name val="Calibri"/>
      <family val="2"/>
      <scheme val="minor"/>
    </font>
    <font>
      <b/>
      <sz val="11"/>
      <name val="Calibri"/>
      <family val="2"/>
      <scheme val="minor"/>
    </font>
    <font>
      <sz val="10"/>
      <name val="Arial"/>
      <family val="2"/>
    </font>
    <font>
      <sz val="10"/>
      <name val="Times New Roman"/>
      <family val="1"/>
    </font>
    <font>
      <b/>
      <sz val="10"/>
      <name val="Arial"/>
      <family val="2"/>
    </font>
    <font>
      <b/>
      <sz val="10"/>
      <color theme="1"/>
      <name val="Arial"/>
      <family val="2"/>
    </font>
    <font>
      <sz val="10"/>
      <color rgb="FFFF0000"/>
      <name val="Arial"/>
      <family val="2"/>
    </font>
    <font>
      <b/>
      <sz val="12"/>
      <color theme="3"/>
      <name val="Calibri"/>
      <family val="2"/>
      <scheme val="minor"/>
    </font>
    <font>
      <u/>
      <sz val="11"/>
      <color theme="1"/>
      <name val="Calibri"/>
      <family val="2"/>
      <scheme val="minor"/>
    </font>
  </fonts>
  <fills count="15">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indexed="9"/>
        <bgColor indexed="64"/>
      </patternFill>
    </fill>
  </fills>
  <borders count="23">
    <border>
      <left/>
      <right/>
      <top/>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64"/>
      </top>
      <bottom style="thin">
        <color indexed="64"/>
      </bottom>
      <diagonal/>
    </border>
    <border>
      <left style="thin">
        <color indexed="22"/>
      </left>
      <right style="thin">
        <color indexed="22"/>
      </right>
      <top style="thin">
        <color indexed="22"/>
      </top>
      <bottom/>
      <diagonal/>
    </border>
    <border>
      <left/>
      <right/>
      <top style="thin">
        <color indexed="64"/>
      </top>
      <bottom style="medium">
        <color indexed="64"/>
      </bottom>
      <diagonal/>
    </border>
  </borders>
  <cellStyleXfs count="6">
    <xf numFmtId="0" fontId="0" fillId="0" borderId="0"/>
    <xf numFmtId="9" fontId="1" fillId="0" borderId="0" applyFont="0" applyFill="0" applyBorder="0" applyAlignment="0" applyProtection="0"/>
    <xf numFmtId="43" fontId="1" fillId="0" borderId="0" applyFont="0" applyFill="0" applyBorder="0" applyAlignment="0" applyProtection="0"/>
    <xf numFmtId="0" fontId="12" fillId="0" borderId="0" applyNumberFormat="0" applyFill="0" applyBorder="0" applyAlignment="0" applyProtection="0"/>
    <xf numFmtId="0" fontId="23" fillId="0" borderId="0"/>
    <xf numFmtId="165" fontId="24" fillId="0" borderId="0"/>
  </cellStyleXfs>
  <cellXfs count="242">
    <xf numFmtId="0" fontId="0" fillId="0" borderId="0" xfId="0"/>
    <xf numFmtId="0" fontId="2" fillId="0" borderId="0" xfId="0" applyFont="1"/>
    <xf numFmtId="164" fontId="0" fillId="0" borderId="0" xfId="1" applyNumberFormat="1" applyFont="1"/>
    <xf numFmtId="10" fontId="3" fillId="0" borderId="0" xfId="0" applyNumberFormat="1" applyFont="1"/>
    <xf numFmtId="10" fontId="4" fillId="0" borderId="0" xfId="0" applyNumberFormat="1" applyFont="1"/>
    <xf numFmtId="10" fontId="5" fillId="0" borderId="0" xfId="0" applyNumberFormat="1" applyFont="1"/>
    <xf numFmtId="0" fontId="7" fillId="0" borderId="0" xfId="0" applyFont="1"/>
    <xf numFmtId="0" fontId="5" fillId="0" borderId="0" xfId="0" applyFont="1"/>
    <xf numFmtId="0" fontId="5" fillId="2" borderId="0" xfId="0" applyFont="1" applyFill="1"/>
    <xf numFmtId="165" fontId="5" fillId="2" borderId="0" xfId="0" applyNumberFormat="1" applyFont="1" applyFill="1"/>
    <xf numFmtId="165" fontId="5" fillId="0" borderId="0" xfId="0" applyNumberFormat="1" applyFont="1" applyFill="1"/>
    <xf numFmtId="0" fontId="8" fillId="0" borderId="0" xfId="0" applyFont="1"/>
    <xf numFmtId="0" fontId="5" fillId="0" borderId="0" xfId="0" applyFont="1" applyFill="1"/>
    <xf numFmtId="0" fontId="7" fillId="0" borderId="0" xfId="0" applyFont="1" applyFill="1"/>
    <xf numFmtId="165" fontId="7" fillId="0" borderId="0" xfId="0" applyNumberFormat="1" applyFont="1"/>
    <xf numFmtId="9" fontId="0" fillId="0" borderId="0" xfId="1" applyFont="1"/>
    <xf numFmtId="164" fontId="6" fillId="0" borderId="0" xfId="1" applyNumberFormat="1" applyFont="1"/>
    <xf numFmtId="0" fontId="6" fillId="0" borderId="0" xfId="0" applyFont="1"/>
    <xf numFmtId="164" fontId="2" fillId="0" borderId="1" xfId="1" applyNumberFormat="1" applyFont="1" applyBorder="1"/>
    <xf numFmtId="164" fontId="9" fillId="0" borderId="1" xfId="1" applyNumberFormat="1" applyFont="1" applyBorder="1"/>
    <xf numFmtId="165" fontId="0" fillId="0" borderId="0" xfId="0" applyNumberFormat="1"/>
    <xf numFmtId="164" fontId="0" fillId="3" borderId="0" xfId="1" applyNumberFormat="1" applyFont="1" applyFill="1"/>
    <xf numFmtId="9" fontId="2" fillId="0" borderId="0" xfId="1" applyFont="1"/>
    <xf numFmtId="165" fontId="5" fillId="0" borderId="0" xfId="0" applyNumberFormat="1" applyFont="1" applyFill="1" applyAlignment="1">
      <alignment horizontal="right"/>
    </xf>
    <xf numFmtId="165" fontId="5" fillId="0" borderId="0" xfId="0" applyNumberFormat="1" applyFont="1"/>
    <xf numFmtId="164" fontId="5" fillId="0" borderId="0" xfId="1" applyNumberFormat="1" applyFont="1"/>
    <xf numFmtId="166" fontId="5" fillId="0" borderId="0" xfId="0" applyNumberFormat="1" applyFont="1"/>
    <xf numFmtId="0" fontId="5" fillId="3" borderId="0" xfId="0" applyFont="1" applyFill="1"/>
    <xf numFmtId="164" fontId="10" fillId="0" borderId="0" xfId="0" applyNumberFormat="1" applyFont="1"/>
    <xf numFmtId="164" fontId="5" fillId="0" borderId="0" xfId="0" applyNumberFormat="1" applyFont="1"/>
    <xf numFmtId="0" fontId="5" fillId="0" borderId="0" xfId="0" applyFont="1" applyAlignment="1">
      <alignment horizontal="right"/>
    </xf>
    <xf numFmtId="165" fontId="11" fillId="0" borderId="3" xfId="0" applyNumberFormat="1" applyFont="1" applyBorder="1"/>
    <xf numFmtId="0" fontId="12" fillId="0" borderId="0" xfId="3"/>
    <xf numFmtId="0" fontId="13" fillId="4" borderId="0" xfId="0" applyFont="1" applyFill="1"/>
    <xf numFmtId="0" fontId="5" fillId="0" borderId="0" xfId="0" applyFont="1" applyFill="1" applyAlignment="1">
      <alignment horizontal="right"/>
    </xf>
    <xf numFmtId="3" fontId="5" fillId="0" borderId="0" xfId="0" applyNumberFormat="1" applyFont="1" applyFill="1"/>
    <xf numFmtId="3" fontId="5" fillId="0" borderId="0" xfId="0" applyNumberFormat="1" applyFont="1"/>
    <xf numFmtId="0" fontId="14" fillId="0" borderId="0" xfId="3" applyFont="1"/>
    <xf numFmtId="3" fontId="7" fillId="0" borderId="0" xfId="0" applyNumberFormat="1" applyFont="1"/>
    <xf numFmtId="0" fontId="0" fillId="0" borderId="0" xfId="0" applyAlignment="1">
      <alignment horizontal="right" wrapText="1"/>
    </xf>
    <xf numFmtId="0" fontId="5" fillId="0" borderId="1" xfId="0" applyFont="1" applyBorder="1"/>
    <xf numFmtId="3" fontId="7" fillId="0" borderId="1" xfId="0" applyNumberFormat="1" applyFont="1" applyBorder="1"/>
    <xf numFmtId="0" fontId="7" fillId="0" borderId="1" xfId="0" applyFont="1" applyBorder="1"/>
    <xf numFmtId="0" fontId="7" fillId="0" borderId="0" xfId="0" applyFont="1" applyFill="1" applyAlignment="1">
      <alignment horizontal="right"/>
    </xf>
    <xf numFmtId="0" fontId="7" fillId="0" borderId="0" xfId="0" applyFont="1" applyAlignment="1">
      <alignment horizontal="right"/>
    </xf>
    <xf numFmtId="164" fontId="7" fillId="0" borderId="0" xfId="0" applyNumberFormat="1" applyFont="1"/>
    <xf numFmtId="0" fontId="5" fillId="0" borderId="4" xfId="0" applyFont="1" applyBorder="1"/>
    <xf numFmtId="2" fontId="7" fillId="0" borderId="8" xfId="0" applyNumberFormat="1" applyFont="1" applyBorder="1"/>
    <xf numFmtId="164" fontId="7" fillId="0" borderId="0" xfId="1" applyNumberFormat="1" applyFont="1" applyBorder="1"/>
    <xf numFmtId="164" fontId="7" fillId="0" borderId="7" xfId="1" applyNumberFormat="1" applyFont="1" applyBorder="1"/>
    <xf numFmtId="166" fontId="15" fillId="0" borderId="9" xfId="0" applyNumberFormat="1" applyFont="1" applyBorder="1"/>
    <xf numFmtId="166" fontId="15" fillId="0" borderId="10" xfId="0" applyNumberFormat="1" applyFont="1" applyBorder="1"/>
    <xf numFmtId="0" fontId="0" fillId="0" borderId="4" xfId="0" applyBorder="1"/>
    <xf numFmtId="165" fontId="0" fillId="0" borderId="8" xfId="0" applyNumberFormat="1" applyBorder="1"/>
    <xf numFmtId="0" fontId="5" fillId="0" borderId="0" xfId="0" applyFont="1" applyAlignment="1">
      <alignment horizontal="right" wrapText="1"/>
    </xf>
    <xf numFmtId="0" fontId="0" fillId="0" borderId="0" xfId="0" applyAlignment="1">
      <alignment horizontal="right"/>
    </xf>
    <xf numFmtId="9" fontId="0" fillId="0" borderId="0" xfId="1" applyFont="1" applyAlignment="1">
      <alignment horizontal="right"/>
    </xf>
    <xf numFmtId="168" fontId="0" fillId="0" borderId="0" xfId="0" applyNumberFormat="1" applyAlignment="1">
      <alignment horizontal="right"/>
    </xf>
    <xf numFmtId="0" fontId="0" fillId="6" borderId="5" xfId="0" applyFill="1" applyBorder="1"/>
    <xf numFmtId="0" fontId="0" fillId="6" borderId="2" xfId="0" applyFill="1" applyBorder="1" applyAlignment="1">
      <alignment horizontal="right"/>
    </xf>
    <xf numFmtId="0" fontId="0" fillId="6" borderId="6" xfId="0" applyFill="1" applyBorder="1" applyAlignment="1">
      <alignment horizontal="right"/>
    </xf>
    <xf numFmtId="0" fontId="0" fillId="6" borderId="4" xfId="0" applyFill="1" applyBorder="1"/>
    <xf numFmtId="0" fontId="0" fillId="6" borderId="0" xfId="0" applyFill="1" applyBorder="1"/>
    <xf numFmtId="0" fontId="0" fillId="6" borderId="0" xfId="0" applyFill="1" applyBorder="1" applyAlignment="1">
      <alignment horizontal="right"/>
    </xf>
    <xf numFmtId="0" fontId="0" fillId="6" borderId="7" xfId="0" applyFill="1" applyBorder="1" applyAlignment="1">
      <alignment horizontal="right"/>
    </xf>
    <xf numFmtId="0" fontId="0" fillId="6" borderId="0" xfId="0" applyFill="1" applyBorder="1" applyAlignment="1">
      <alignment horizontal="left"/>
    </xf>
    <xf numFmtId="0" fontId="2" fillId="6" borderId="0" xfId="0" applyFont="1" applyFill="1" applyBorder="1"/>
    <xf numFmtId="0" fontId="2" fillId="6" borderId="0" xfId="0" applyFont="1" applyFill="1" applyBorder="1" applyAlignment="1">
      <alignment horizontal="right"/>
    </xf>
    <xf numFmtId="168" fontId="0" fillId="6" borderId="0" xfId="0" applyNumberFormat="1" applyFill="1" applyBorder="1" applyAlignment="1">
      <alignment horizontal="right"/>
    </xf>
    <xf numFmtId="164" fontId="0" fillId="6" borderId="0" xfId="1" applyNumberFormat="1" applyFont="1" applyFill="1" applyBorder="1" applyAlignment="1">
      <alignment horizontal="right"/>
    </xf>
    <xf numFmtId="168" fontId="0" fillId="6" borderId="11" xfId="0" applyNumberFormat="1" applyFill="1" applyBorder="1" applyAlignment="1">
      <alignment horizontal="right"/>
    </xf>
    <xf numFmtId="164" fontId="0" fillId="6" borderId="1" xfId="1" applyNumberFormat="1" applyFont="1" applyFill="1" applyBorder="1" applyAlignment="1">
      <alignment horizontal="right"/>
    </xf>
    <xf numFmtId="168" fontId="0" fillId="6" borderId="12" xfId="0" applyNumberFormat="1" applyFill="1" applyBorder="1" applyAlignment="1">
      <alignment horizontal="right"/>
    </xf>
    <xf numFmtId="168" fontId="0" fillId="6" borderId="13" xfId="0" applyNumberFormat="1" applyFill="1" applyBorder="1" applyAlignment="1">
      <alignment horizontal="right"/>
    </xf>
    <xf numFmtId="0" fontId="0" fillId="6" borderId="8" xfId="0" applyFill="1" applyBorder="1"/>
    <xf numFmtId="0" fontId="0" fillId="6" borderId="9" xfId="0" applyFill="1" applyBorder="1"/>
    <xf numFmtId="0" fontId="0" fillId="6" borderId="9" xfId="0" applyFill="1" applyBorder="1" applyAlignment="1">
      <alignment horizontal="right"/>
    </xf>
    <xf numFmtId="168" fontId="0" fillId="6" borderId="9" xfId="0" applyNumberFormat="1" applyFill="1" applyBorder="1" applyAlignment="1">
      <alignment horizontal="right"/>
    </xf>
    <xf numFmtId="0" fontId="0" fillId="6" borderId="10" xfId="0" applyFill="1" applyBorder="1" applyAlignment="1">
      <alignment horizontal="right"/>
    </xf>
    <xf numFmtId="0" fontId="0" fillId="0" borderId="0" xfId="0" applyAlignment="1">
      <alignment horizontal="right" vertical="center"/>
    </xf>
    <xf numFmtId="0" fontId="0" fillId="0" borderId="0" xfId="0" applyAlignment="1">
      <alignment vertical="center"/>
    </xf>
    <xf numFmtId="0" fontId="0" fillId="0" borderId="0" xfId="0" applyAlignment="1">
      <alignment vertical="center" wrapText="1"/>
    </xf>
    <xf numFmtId="0" fontId="2" fillId="6" borderId="2" xfId="0" applyFont="1" applyFill="1" applyBorder="1"/>
    <xf numFmtId="0" fontId="19" fillId="0" borderId="0" xfId="0" applyFont="1"/>
    <xf numFmtId="168" fontId="2" fillId="5" borderId="3" xfId="0" applyNumberFormat="1" applyFont="1" applyFill="1" applyBorder="1" applyAlignment="1">
      <alignment horizontal="center"/>
    </xf>
    <xf numFmtId="0" fontId="2" fillId="7" borderId="15" xfId="0" applyFont="1" applyFill="1" applyBorder="1" applyAlignment="1">
      <alignment horizontal="center"/>
    </xf>
    <xf numFmtId="168" fontId="2" fillId="7" borderId="15" xfId="0" applyNumberFormat="1" applyFont="1" applyFill="1" applyBorder="1" applyAlignment="1">
      <alignment horizontal="center"/>
    </xf>
    <xf numFmtId="0" fontId="0" fillId="7" borderId="9" xfId="0" applyFill="1" applyBorder="1" applyAlignment="1">
      <alignment horizontal="left"/>
    </xf>
    <xf numFmtId="168" fontId="2" fillId="7" borderId="16" xfId="0" applyNumberFormat="1" applyFont="1" applyFill="1" applyBorder="1" applyAlignment="1">
      <alignment horizontal="center"/>
    </xf>
    <xf numFmtId="0" fontId="0" fillId="7" borderId="1" xfId="0" applyFill="1" applyBorder="1" applyAlignment="1">
      <alignment horizontal="left"/>
    </xf>
    <xf numFmtId="168" fontId="0" fillId="7" borderId="11" xfId="0" applyNumberFormat="1" applyFill="1" applyBorder="1" applyAlignment="1">
      <alignment horizontal="right"/>
    </xf>
    <xf numFmtId="168" fontId="2" fillId="7" borderId="14" xfId="0" applyNumberFormat="1" applyFont="1" applyFill="1" applyBorder="1" applyAlignment="1">
      <alignment horizontal="center"/>
    </xf>
    <xf numFmtId="0" fontId="0" fillId="8" borderId="0" xfId="0" applyFill="1" applyBorder="1" applyAlignment="1">
      <alignment horizontal="left"/>
    </xf>
    <xf numFmtId="0" fontId="0" fillId="8" borderId="0" xfId="0" applyFill="1" applyBorder="1"/>
    <xf numFmtId="0" fontId="2" fillId="8" borderId="0" xfId="0" applyFont="1" applyFill="1" applyBorder="1"/>
    <xf numFmtId="0" fontId="2" fillId="8" borderId="0" xfId="0" applyFont="1" applyFill="1" applyBorder="1" applyAlignment="1">
      <alignment horizontal="right"/>
    </xf>
    <xf numFmtId="168" fontId="0" fillId="8" borderId="0" xfId="0" applyNumberFormat="1" applyFill="1" applyBorder="1" applyAlignment="1">
      <alignment horizontal="right"/>
    </xf>
    <xf numFmtId="164" fontId="0" fillId="8" borderId="0" xfId="1" applyNumberFormat="1" applyFont="1" applyFill="1" applyBorder="1" applyAlignment="1">
      <alignment horizontal="right"/>
    </xf>
    <xf numFmtId="164" fontId="0" fillId="8" borderId="9" xfId="1" applyNumberFormat="1" applyFont="1" applyFill="1" applyBorder="1" applyAlignment="1">
      <alignment horizontal="right"/>
    </xf>
    <xf numFmtId="168" fontId="0" fillId="8" borderId="11" xfId="0" applyNumberFormat="1" applyFill="1" applyBorder="1" applyAlignment="1">
      <alignment horizontal="right"/>
    </xf>
    <xf numFmtId="164" fontId="0" fillId="8" borderId="1" xfId="1" applyNumberFormat="1" applyFont="1" applyFill="1" applyBorder="1" applyAlignment="1">
      <alignment horizontal="right"/>
    </xf>
    <xf numFmtId="0" fontId="0" fillId="8" borderId="0" xfId="0" applyFill="1" applyBorder="1" applyAlignment="1">
      <alignment horizontal="right"/>
    </xf>
    <xf numFmtId="0" fontId="0" fillId="8" borderId="5" xfId="0" applyFill="1" applyBorder="1"/>
    <xf numFmtId="0" fontId="0" fillId="8" borderId="2" xfId="0" applyFill="1" applyBorder="1"/>
    <xf numFmtId="0" fontId="0" fillId="8" borderId="2" xfId="0" applyFill="1" applyBorder="1" applyAlignment="1">
      <alignment horizontal="right"/>
    </xf>
    <xf numFmtId="0" fontId="0" fillId="8" borderId="6" xfId="0" applyFill="1" applyBorder="1" applyAlignment="1">
      <alignment horizontal="right"/>
    </xf>
    <xf numFmtId="0" fontId="0" fillId="8" borderId="4" xfId="0" applyFill="1" applyBorder="1"/>
    <xf numFmtId="0" fontId="0" fillId="8" borderId="7" xfId="0" applyFill="1" applyBorder="1" applyAlignment="1">
      <alignment horizontal="right"/>
    </xf>
    <xf numFmtId="0" fontId="0" fillId="8" borderId="8" xfId="0" applyFill="1" applyBorder="1"/>
    <xf numFmtId="0" fontId="0" fillId="8" borderId="9" xfId="0" applyFill="1" applyBorder="1"/>
    <xf numFmtId="0" fontId="0" fillId="8" borderId="9" xfId="0" applyFill="1" applyBorder="1" applyAlignment="1">
      <alignment horizontal="right"/>
    </xf>
    <xf numFmtId="0" fontId="0" fillId="8" borderId="10" xfId="0" applyFill="1" applyBorder="1" applyAlignment="1">
      <alignment horizontal="right"/>
    </xf>
    <xf numFmtId="0" fontId="0" fillId="7" borderId="5" xfId="0" applyFill="1" applyBorder="1" applyAlignment="1">
      <alignment horizontal="right"/>
    </xf>
    <xf numFmtId="0" fontId="0" fillId="7" borderId="2" xfId="0" applyFill="1" applyBorder="1"/>
    <xf numFmtId="0" fontId="0" fillId="7" borderId="6" xfId="0" applyFill="1" applyBorder="1"/>
    <xf numFmtId="0" fontId="0" fillId="7" borderId="4" xfId="0" applyFill="1" applyBorder="1" applyAlignment="1">
      <alignment horizontal="right"/>
    </xf>
    <xf numFmtId="0" fontId="0" fillId="7" borderId="0" xfId="0" applyFill="1" applyBorder="1" applyAlignment="1">
      <alignment horizontal="right"/>
    </xf>
    <xf numFmtId="0" fontId="0" fillId="7" borderId="0" xfId="0" applyFill="1" applyBorder="1"/>
    <xf numFmtId="0" fontId="0" fillId="7" borderId="7" xfId="0" applyFill="1" applyBorder="1"/>
    <xf numFmtId="0" fontId="2" fillId="7" borderId="0" xfId="0" applyFont="1" applyFill="1" applyBorder="1" applyAlignment="1">
      <alignment horizontal="right"/>
    </xf>
    <xf numFmtId="0" fontId="18" fillId="7" borderId="0" xfId="0" applyFont="1" applyFill="1" applyBorder="1" applyAlignment="1">
      <alignment horizontal="left"/>
    </xf>
    <xf numFmtId="0" fontId="0" fillId="7" borderId="0" xfId="0" applyFill="1" applyBorder="1" applyAlignment="1">
      <alignment horizontal="left"/>
    </xf>
    <xf numFmtId="164" fontId="0" fillId="7" borderId="0" xfId="1" applyNumberFormat="1" applyFont="1" applyFill="1" applyBorder="1" applyAlignment="1">
      <alignment horizontal="right"/>
    </xf>
    <xf numFmtId="164" fontId="0" fillId="7" borderId="0" xfId="0" applyNumberFormat="1" applyFill="1" applyBorder="1" applyAlignment="1">
      <alignment horizontal="right"/>
    </xf>
    <xf numFmtId="168" fontId="0" fillId="7" borderId="0" xfId="0" applyNumberFormat="1" applyFill="1" applyBorder="1" applyAlignment="1">
      <alignment horizontal="right"/>
    </xf>
    <xf numFmtId="0" fontId="0" fillId="7" borderId="8" xfId="0" applyFill="1" applyBorder="1" applyAlignment="1">
      <alignment horizontal="right"/>
    </xf>
    <xf numFmtId="0" fontId="0" fillId="7" borderId="9" xfId="0" applyFill="1" applyBorder="1" applyAlignment="1">
      <alignment horizontal="right"/>
    </xf>
    <xf numFmtId="0" fontId="0" fillId="7" borderId="9" xfId="0" applyFill="1" applyBorder="1"/>
    <xf numFmtId="9" fontId="0" fillId="7" borderId="9" xfId="1" applyFont="1" applyFill="1" applyBorder="1"/>
    <xf numFmtId="0" fontId="0" fillId="7" borderId="10" xfId="0" applyFill="1" applyBorder="1"/>
    <xf numFmtId="0" fontId="20" fillId="0" borderId="0" xfId="0" applyFont="1"/>
    <xf numFmtId="0" fontId="0" fillId="6" borderId="11" xfId="0" applyFill="1" applyBorder="1"/>
    <xf numFmtId="165" fontId="0" fillId="9" borderId="0" xfId="0" applyNumberFormat="1" applyFill="1"/>
    <xf numFmtId="2" fontId="7" fillId="0" borderId="0" xfId="0" applyNumberFormat="1" applyFont="1" applyBorder="1"/>
    <xf numFmtId="166" fontId="15" fillId="0" borderId="0" xfId="0" applyNumberFormat="1" applyFont="1" applyBorder="1"/>
    <xf numFmtId="0" fontId="0" fillId="0" borderId="0" xfId="0" applyBorder="1"/>
    <xf numFmtId="164" fontId="21" fillId="0" borderId="0" xfId="1" applyNumberFormat="1" applyFont="1"/>
    <xf numFmtId="0" fontId="4" fillId="0" borderId="0" xfId="0" applyFont="1"/>
    <xf numFmtId="168" fontId="0" fillId="0" borderId="0" xfId="0" applyNumberFormat="1"/>
    <xf numFmtId="0" fontId="17" fillId="0" borderId="0" xfId="0" applyFont="1"/>
    <xf numFmtId="3" fontId="0" fillId="0" borderId="0" xfId="0" applyNumberFormat="1"/>
    <xf numFmtId="0" fontId="7" fillId="3" borderId="0" xfId="0" applyFont="1" applyFill="1" applyAlignment="1">
      <alignment horizontal="center"/>
    </xf>
    <xf numFmtId="3" fontId="7" fillId="3" borderId="1" xfId="0" applyNumberFormat="1" applyFont="1" applyFill="1" applyBorder="1"/>
    <xf numFmtId="172" fontId="7" fillId="3" borderId="0" xfId="2" applyNumberFormat="1" applyFont="1" applyFill="1"/>
    <xf numFmtId="0" fontId="0" fillId="3" borderId="0" xfId="0" applyFill="1"/>
    <xf numFmtId="3" fontId="2" fillId="3" borderId="0" xfId="0" applyNumberFormat="1" applyFont="1" applyFill="1"/>
    <xf numFmtId="0" fontId="7" fillId="3" borderId="0" xfId="0" applyFont="1" applyFill="1" applyAlignment="1">
      <alignment horizontal="right"/>
    </xf>
    <xf numFmtId="0" fontId="5" fillId="0" borderId="2" xfId="0" applyFont="1" applyBorder="1"/>
    <xf numFmtId="0" fontId="5" fillId="3" borderId="6" xfId="0" applyFont="1" applyFill="1" applyBorder="1"/>
    <xf numFmtId="3" fontId="5" fillId="0" borderId="0" xfId="0" applyNumberFormat="1" applyFont="1" applyBorder="1"/>
    <xf numFmtId="0" fontId="5" fillId="3" borderId="7" xfId="0" applyFont="1" applyFill="1" applyBorder="1"/>
    <xf numFmtId="0" fontId="16" fillId="0" borderId="0" xfId="0" applyFont="1" applyBorder="1"/>
    <xf numFmtId="170" fontId="16" fillId="0" borderId="0" xfId="0" applyNumberFormat="1" applyFont="1" applyBorder="1"/>
    <xf numFmtId="0" fontId="5" fillId="0" borderId="0" xfId="0" applyFont="1" applyBorder="1"/>
    <xf numFmtId="3" fontId="7" fillId="3" borderId="7" xfId="0" applyNumberFormat="1" applyFont="1" applyFill="1" applyBorder="1"/>
    <xf numFmtId="167" fontId="5" fillId="0" borderId="9" xfId="0" applyNumberFormat="1" applyFont="1" applyBorder="1"/>
    <xf numFmtId="167" fontId="5" fillId="3" borderId="10" xfId="0" applyNumberFormat="1" applyFont="1" applyFill="1" applyBorder="1"/>
    <xf numFmtId="0" fontId="0" fillId="0" borderId="2" xfId="0" applyBorder="1"/>
    <xf numFmtId="0" fontId="0" fillId="0" borderId="6" xfId="0" applyBorder="1"/>
    <xf numFmtId="169" fontId="16" fillId="0" borderId="0" xfId="0" applyNumberFormat="1" applyFont="1" applyBorder="1"/>
    <xf numFmtId="171" fontId="16" fillId="0" borderId="0" xfId="2" applyNumberFormat="1" applyFont="1" applyBorder="1"/>
    <xf numFmtId="3" fontId="5" fillId="0" borderId="9" xfId="0" applyNumberFormat="1" applyFont="1" applyBorder="1"/>
    <xf numFmtId="3" fontId="7" fillId="3" borderId="10" xfId="0" applyNumberFormat="1" applyFont="1" applyFill="1" applyBorder="1"/>
    <xf numFmtId="3" fontId="5" fillId="3" borderId="7" xfId="0" applyNumberFormat="1" applyFont="1" applyFill="1" applyBorder="1"/>
    <xf numFmtId="0" fontId="2" fillId="0" borderId="5" xfId="0" applyFont="1" applyBorder="1" applyAlignment="1">
      <alignment horizontal="left" indent="1"/>
    </xf>
    <xf numFmtId="0" fontId="5" fillId="0" borderId="4" xfId="0" applyFont="1" applyBorder="1" applyAlignment="1">
      <alignment horizontal="left" indent="1"/>
    </xf>
    <xf numFmtId="0" fontId="5" fillId="0" borderId="8" xfId="0" applyFont="1" applyBorder="1" applyAlignment="1">
      <alignment horizontal="left" indent="1"/>
    </xf>
    <xf numFmtId="0" fontId="7" fillId="0" borderId="5" xfId="0" applyFont="1" applyBorder="1" applyAlignment="1">
      <alignment horizontal="left" indent="1"/>
    </xf>
    <xf numFmtId="0" fontId="0" fillId="0" borderId="0" xfId="0" applyAlignment="1">
      <alignment horizontal="left"/>
    </xf>
    <xf numFmtId="0" fontId="5" fillId="0" borderId="5" xfId="0" applyFont="1" applyBorder="1"/>
    <xf numFmtId="0" fontId="0" fillId="0" borderId="8" xfId="0" applyBorder="1"/>
    <xf numFmtId="168" fontId="2" fillId="3" borderId="9" xfId="0" applyNumberFormat="1" applyFont="1" applyFill="1" applyBorder="1"/>
    <xf numFmtId="168" fontId="22" fillId="11" borderId="10" xfId="0" applyNumberFormat="1" applyFont="1" applyFill="1" applyBorder="1" applyAlignment="1">
      <alignment horizontal="left" indent="3"/>
    </xf>
    <xf numFmtId="0" fontId="0" fillId="0" borderId="9" xfId="0" applyBorder="1"/>
    <xf numFmtId="0" fontId="0" fillId="12" borderId="7" xfId="0" applyFill="1" applyBorder="1" applyAlignment="1">
      <alignment horizontal="left" indent="5"/>
    </xf>
    <xf numFmtId="0" fontId="0" fillId="13" borderId="7" xfId="0" applyFill="1" applyBorder="1" applyAlignment="1">
      <alignment horizontal="left" indent="6"/>
    </xf>
    <xf numFmtId="0" fontId="0" fillId="13" borderId="7" xfId="0" applyFill="1" applyBorder="1" applyAlignment="1">
      <alignment horizontal="left" indent="5"/>
    </xf>
    <xf numFmtId="168" fontId="2" fillId="13" borderId="10" xfId="0" applyNumberFormat="1" applyFont="1" applyFill="1" applyBorder="1" applyAlignment="1">
      <alignment horizontal="left" indent="4"/>
    </xf>
    <xf numFmtId="0" fontId="5" fillId="0" borderId="8" xfId="0" applyFont="1" applyBorder="1" applyAlignment="1">
      <alignment horizontal="right" wrapText="1"/>
    </xf>
    <xf numFmtId="0" fontId="0" fillId="13" borderId="10" xfId="0" applyFill="1" applyBorder="1" applyAlignment="1">
      <alignment horizontal="center" wrapText="1"/>
    </xf>
    <xf numFmtId="0" fontId="0" fillId="0" borderId="9" xfId="0" applyBorder="1" applyAlignment="1">
      <alignment horizontal="right" wrapText="1"/>
    </xf>
    <xf numFmtId="0" fontId="0" fillId="12" borderId="10" xfId="0" applyFill="1" applyBorder="1" applyAlignment="1">
      <alignment horizontal="right" wrapText="1" indent="1"/>
    </xf>
    <xf numFmtId="0" fontId="2" fillId="0" borderId="8" xfId="0" applyFont="1" applyBorder="1" applyAlignment="1">
      <alignment horizontal="right"/>
    </xf>
    <xf numFmtId="0" fontId="0" fillId="13" borderId="10" xfId="0" applyFill="1" applyBorder="1" applyAlignment="1">
      <alignment horizontal="left" indent="5"/>
    </xf>
    <xf numFmtId="0" fontId="0" fillId="12" borderId="10" xfId="0" applyFill="1" applyBorder="1" applyAlignment="1">
      <alignment horizontal="left" indent="5"/>
    </xf>
    <xf numFmtId="0" fontId="12" fillId="11" borderId="0" xfId="3" applyFill="1" applyAlignment="1">
      <alignment horizontal="left"/>
    </xf>
    <xf numFmtId="165" fontId="25" fillId="0" borderId="0" xfId="5" applyFont="1" applyFill="1" applyAlignment="1">
      <alignment horizontal="left"/>
    </xf>
    <xf numFmtId="165" fontId="23" fillId="0" borderId="0" xfId="5" applyFont="1" applyFill="1" applyAlignment="1"/>
    <xf numFmtId="3" fontId="23" fillId="0" borderId="19" xfId="5" applyNumberFormat="1" applyFont="1" applyFill="1" applyBorder="1" applyAlignment="1"/>
    <xf numFmtId="3" fontId="25" fillId="14" borderId="20" xfId="5" applyNumberFormat="1" applyFont="1" applyFill="1" applyBorder="1" applyAlignment="1"/>
    <xf numFmtId="0" fontId="15" fillId="0" borderId="0" xfId="0" applyFont="1"/>
    <xf numFmtId="0" fontId="26" fillId="0" borderId="0" xfId="0" applyFont="1"/>
    <xf numFmtId="0" fontId="25" fillId="0" borderId="0" xfId="0" applyFont="1"/>
    <xf numFmtId="3" fontId="23" fillId="0" borderId="21" xfId="5" applyNumberFormat="1" applyFont="1" applyFill="1" applyBorder="1" applyAlignment="1"/>
    <xf numFmtId="3" fontId="25" fillId="0" borderId="20" xfId="5" applyNumberFormat="1" applyFont="1" applyFill="1" applyBorder="1" applyAlignment="1"/>
    <xf numFmtId="0" fontId="7" fillId="10" borderId="0" xfId="0" applyFont="1" applyFill="1" applyAlignment="1">
      <alignment horizontal="right" wrapText="1"/>
    </xf>
    <xf numFmtId="164" fontId="15" fillId="10" borderId="0" xfId="1" applyNumberFormat="1" applyFont="1" applyFill="1"/>
    <xf numFmtId="164" fontId="26" fillId="10" borderId="1" xfId="1" applyNumberFormat="1" applyFont="1" applyFill="1" applyBorder="1"/>
    <xf numFmtId="165" fontId="15" fillId="0" borderId="0" xfId="0" applyNumberFormat="1" applyFont="1" applyFill="1"/>
    <xf numFmtId="165" fontId="27" fillId="0" borderId="0" xfId="0" applyNumberFormat="1" applyFont="1" applyFill="1"/>
    <xf numFmtId="165" fontId="26" fillId="0" borderId="1" xfId="0" applyNumberFormat="1" applyFont="1" applyFill="1" applyBorder="1"/>
    <xf numFmtId="165" fontId="15" fillId="0" borderId="0" xfId="0" applyNumberFormat="1" applyFont="1"/>
    <xf numFmtId="164" fontId="5" fillId="10" borderId="0" xfId="1" applyNumberFormat="1" applyFont="1" applyFill="1"/>
    <xf numFmtId="164" fontId="5" fillId="10" borderId="1" xfId="1" applyNumberFormat="1" applyFont="1" applyFill="1" applyBorder="1"/>
    <xf numFmtId="164" fontId="5" fillId="0" borderId="1" xfId="0" applyNumberFormat="1" applyFont="1" applyBorder="1"/>
    <xf numFmtId="164" fontId="7" fillId="0" borderId="1" xfId="0" applyNumberFormat="1" applyFont="1" applyBorder="1"/>
    <xf numFmtId="165" fontId="5" fillId="0" borderId="0" xfId="0" applyNumberFormat="1" applyFont="1" applyAlignment="1">
      <alignment wrapText="1"/>
    </xf>
    <xf numFmtId="165" fontId="7" fillId="0" borderId="0" xfId="0" applyNumberFormat="1" applyFont="1" applyAlignment="1">
      <alignment wrapText="1"/>
    </xf>
    <xf numFmtId="0" fontId="7" fillId="0" borderId="0" xfId="0" applyFont="1" applyAlignment="1">
      <alignment wrapText="1"/>
    </xf>
    <xf numFmtId="0" fontId="28" fillId="0" borderId="0" xfId="0" applyFont="1"/>
    <xf numFmtId="0" fontId="12" fillId="0" borderId="0" xfId="3" applyAlignment="1">
      <alignment horizontal="right" vertical="center" wrapText="1"/>
    </xf>
    <xf numFmtId="0" fontId="0" fillId="6" borderId="2" xfId="0" applyFill="1" applyBorder="1"/>
    <xf numFmtId="0" fontId="2" fillId="6" borderId="0" xfId="0" applyFont="1" applyFill="1" applyBorder="1" applyAlignment="1">
      <alignment wrapText="1"/>
    </xf>
    <xf numFmtId="0" fontId="2" fillId="6" borderId="0" xfId="0" applyFont="1" applyFill="1" applyBorder="1" applyAlignment="1">
      <alignment horizontal="right" wrapText="1" indent="1"/>
    </xf>
    <xf numFmtId="0" fontId="2" fillId="6" borderId="0" xfId="0" applyFont="1" applyFill="1" applyBorder="1" applyAlignment="1">
      <alignment horizontal="right" indent="1"/>
    </xf>
    <xf numFmtId="0" fontId="0" fillId="6" borderId="0" xfId="0" applyFill="1" applyBorder="1" applyAlignment="1">
      <alignment wrapText="1"/>
    </xf>
    <xf numFmtId="173" fontId="0" fillId="6" borderId="0" xfId="0" applyNumberFormat="1" applyFill="1" applyBorder="1" applyAlignment="1">
      <alignment horizontal="right" indent="1"/>
    </xf>
    <xf numFmtId="0" fontId="0" fillId="6" borderId="0" xfId="0" applyFill="1" applyBorder="1" applyAlignment="1">
      <alignment horizontal="left" indent="1"/>
    </xf>
    <xf numFmtId="0" fontId="2" fillId="6" borderId="1" xfId="0" applyFont="1" applyFill="1" applyBorder="1"/>
    <xf numFmtId="173" fontId="2" fillId="6" borderId="22" xfId="0" applyNumberFormat="1" applyFont="1" applyFill="1" applyBorder="1" applyAlignment="1">
      <alignment horizontal="right" indent="1"/>
    </xf>
    <xf numFmtId="0" fontId="0" fillId="6" borderId="0" xfId="0" applyFont="1" applyFill="1" applyBorder="1"/>
    <xf numFmtId="0" fontId="9" fillId="6" borderId="0" xfId="0" applyFont="1" applyFill="1" applyBorder="1"/>
    <xf numFmtId="173" fontId="9" fillId="6" borderId="0" xfId="0" applyNumberFormat="1" applyFont="1" applyFill="1" applyBorder="1" applyAlignment="1">
      <alignment horizontal="right" indent="1"/>
    </xf>
    <xf numFmtId="0" fontId="0" fillId="0" borderId="0" xfId="0" applyAlignment="1">
      <alignment horizontal="left" vertical="center" wrapText="1"/>
    </xf>
    <xf numFmtId="0" fontId="0" fillId="0" borderId="0" xfId="0" applyAlignment="1">
      <alignment horizontal="left" wrapText="1"/>
    </xf>
    <xf numFmtId="0" fontId="2" fillId="6" borderId="0" xfId="0" applyFont="1" applyFill="1" applyBorder="1" applyAlignment="1">
      <alignment horizontal="center"/>
    </xf>
    <xf numFmtId="0" fontId="2" fillId="6" borderId="0" xfId="0" applyFont="1" applyFill="1" applyBorder="1" applyAlignment="1">
      <alignment horizontal="right" wrapText="1"/>
    </xf>
    <xf numFmtId="0" fontId="17" fillId="6" borderId="0" xfId="0" applyFont="1" applyFill="1" applyBorder="1" applyAlignment="1">
      <alignment horizontal="center"/>
    </xf>
    <xf numFmtId="0" fontId="0" fillId="7" borderId="0" xfId="0" applyFill="1" applyBorder="1" applyAlignment="1">
      <alignment horizontal="left" wrapText="1"/>
    </xf>
    <xf numFmtId="0" fontId="2" fillId="7" borderId="2" xfId="0" applyFont="1" applyFill="1" applyBorder="1" applyAlignment="1">
      <alignment horizontal="center" wrapText="1"/>
    </xf>
    <xf numFmtId="0" fontId="17" fillId="8" borderId="0" xfId="0" applyFont="1" applyFill="1" applyBorder="1" applyAlignment="1">
      <alignment horizontal="center"/>
    </xf>
    <xf numFmtId="0" fontId="2" fillId="8" borderId="0" xfId="0" applyFont="1" applyFill="1" applyBorder="1" applyAlignment="1">
      <alignment horizontal="right" wrapText="1"/>
    </xf>
    <xf numFmtId="0" fontId="2" fillId="8" borderId="0" xfId="0" applyFont="1" applyFill="1" applyBorder="1" applyAlignment="1">
      <alignment horizontal="center"/>
    </xf>
    <xf numFmtId="0" fontId="5" fillId="0" borderId="0" xfId="0" applyFont="1" applyAlignment="1">
      <alignment horizontal="left" vertical="top" wrapText="1"/>
    </xf>
    <xf numFmtId="0" fontId="2" fillId="0" borderId="2" xfId="0" applyFont="1" applyBorder="1" applyAlignment="1">
      <alignment horizontal="center"/>
    </xf>
    <xf numFmtId="0" fontId="2" fillId="0" borderId="6" xfId="0" applyFont="1" applyBorder="1" applyAlignment="1">
      <alignment horizontal="center"/>
    </xf>
    <xf numFmtId="0" fontId="5" fillId="0" borderId="17" xfId="0" applyFont="1" applyBorder="1" applyAlignment="1">
      <alignment horizontal="left" wrapText="1"/>
    </xf>
    <xf numFmtId="0" fontId="5" fillId="0" borderId="1" xfId="0" applyFont="1" applyBorder="1" applyAlignment="1">
      <alignment horizontal="left" wrapText="1"/>
    </xf>
    <xf numFmtId="0" fontId="5" fillId="0" borderId="18" xfId="0" applyFont="1" applyBorder="1" applyAlignment="1">
      <alignment horizontal="left" wrapText="1"/>
    </xf>
    <xf numFmtId="0" fontId="15" fillId="0" borderId="5"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6" xfId="0" applyFont="1" applyBorder="1" applyAlignment="1">
      <alignment horizontal="center" vertical="center" wrapText="1"/>
    </xf>
  </cellXfs>
  <cellStyles count="6">
    <cellStyle name="Comma" xfId="2" builtinId="3"/>
    <cellStyle name="Hyperlink" xfId="3" builtinId="8"/>
    <cellStyle name="Normal" xfId="0" builtinId="0"/>
    <cellStyle name="Normal 10" xfId="4"/>
    <cellStyle name="Normal_H-Ass" xfId="5"/>
    <cellStyle name="Percent"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Summary!$J$3</c:f>
          <c:strCache>
            <c:ptCount val="1"/>
            <c:pt idx="0">
              <c:v>Labour's cumulative Allowance for future spending  to 2021-22 ($m) before and after providing for cost escalation on existing programmes.</c:v>
            </c:pt>
          </c:strCache>
        </c:strRef>
      </c:tx>
      <c:layout>
        <c:manualLayout>
          <c:xMode val="edge"/>
          <c:yMode val="edge"/>
          <c:x val="0.10070212478800769"/>
          <c:y val="1.131611462243976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1"/>
            <c:invertIfNegative val="0"/>
            <c:bubble3D val="0"/>
            <c:spPr>
              <a:solidFill>
                <a:srgbClr val="FF0000"/>
              </a:solidFill>
              <a:ln>
                <a:noFill/>
              </a:ln>
              <a:effectLst/>
            </c:spPr>
            <c:extLst>
              <c:ext xmlns:c16="http://schemas.microsoft.com/office/drawing/2014/chart" uri="{C3380CC4-5D6E-409C-BE32-E72D297353CC}">
                <c16:uniqueId val="{00000001-20E5-4B99-9A1E-B7ECEC12549E}"/>
              </c:ext>
            </c:extLst>
          </c:dPt>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Summary!$K$2:$L$2</c:f>
              <c:numCache>
                <c:formatCode>General</c:formatCode>
                <c:ptCount val="2"/>
              </c:numCache>
            </c:numRef>
          </c:cat>
          <c:val>
            <c:numRef>
              <c:f>Summary!$K$3:$L$3</c:f>
              <c:numCache>
                <c:formatCode>"$"#,##0</c:formatCode>
                <c:ptCount val="2"/>
                <c:pt idx="0">
                  <c:v>7528</c:v>
                </c:pt>
                <c:pt idx="1">
                  <c:v>-3171.2950105832424</c:v>
                </c:pt>
              </c:numCache>
            </c:numRef>
          </c:val>
          <c:extLst>
            <c:ext xmlns:c16="http://schemas.microsoft.com/office/drawing/2014/chart" uri="{C3380CC4-5D6E-409C-BE32-E72D297353CC}">
              <c16:uniqueId val="{00000002-20E5-4B99-9A1E-B7ECEC12549E}"/>
            </c:ext>
          </c:extLst>
        </c:ser>
        <c:dLbls>
          <c:showLegendKey val="0"/>
          <c:showVal val="0"/>
          <c:showCatName val="0"/>
          <c:showSerName val="0"/>
          <c:showPercent val="0"/>
          <c:showBubbleSize val="0"/>
        </c:dLbls>
        <c:gapWidth val="219"/>
        <c:overlap val="-27"/>
        <c:axId val="284834816"/>
        <c:axId val="284967680"/>
      </c:barChart>
      <c:catAx>
        <c:axId val="28483481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284967680"/>
        <c:crosses val="autoZero"/>
        <c:auto val="1"/>
        <c:lblAlgn val="ctr"/>
        <c:lblOffset val="100"/>
        <c:noMultiLvlLbl val="0"/>
      </c:catAx>
      <c:valAx>
        <c:axId val="28496768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284834816"/>
        <c:crosses val="autoZero"/>
        <c:crossBetween val="between"/>
      </c:valAx>
      <c:spPr>
        <a:noFill/>
        <a:ln>
          <a:noFill/>
        </a:ln>
        <a:effectLst/>
      </c:spPr>
    </c:plotArea>
    <c:plotVisOnly val="1"/>
    <c:dispBlanksAs val="gap"/>
    <c:showDLblsOverMax val="0"/>
  </c:chart>
  <c:spPr>
    <a:solidFill>
      <a:schemeClr val="lt1"/>
    </a:solidFill>
    <a:ln w="25400" cap="flat" cmpd="sng" algn="ctr">
      <a:solidFill>
        <a:schemeClr val="dk1"/>
      </a:solidFill>
      <a:prstDash val="solid"/>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NZ"/>
              <a:t>Degree to which trend growth in spending on transfers and subsidies exceeds trend growth in spending on personnel and other operating expenses (% pa)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'Historical growth'!$S$3:$S$4</c:f>
              <c:strCache>
                <c:ptCount val="2"/>
                <c:pt idx="0">
                  <c:v>2007-2016</c:v>
                </c:pt>
                <c:pt idx="1">
                  <c:v>2018-2022</c:v>
                </c:pt>
              </c:strCache>
            </c:strRef>
          </c:cat>
          <c:val>
            <c:numRef>
              <c:f>'Historical growth'!$T$3:$T$4</c:f>
              <c:numCache>
                <c:formatCode>0.0%</c:formatCode>
                <c:ptCount val="2"/>
                <c:pt idx="0">
                  <c:v>1.2355481597229323E-2</c:v>
                </c:pt>
                <c:pt idx="1">
                  <c:v>3.3826051479694863E-2</c:v>
                </c:pt>
              </c:numCache>
            </c:numRef>
          </c:val>
          <c:extLst>
            <c:ext xmlns:c16="http://schemas.microsoft.com/office/drawing/2014/chart" uri="{C3380CC4-5D6E-409C-BE32-E72D297353CC}">
              <c16:uniqueId val="{00000000-40FD-4125-ADC6-782799F96089}"/>
            </c:ext>
          </c:extLst>
        </c:ser>
        <c:dLbls>
          <c:showLegendKey val="0"/>
          <c:showVal val="0"/>
          <c:showCatName val="0"/>
          <c:showSerName val="0"/>
          <c:showPercent val="0"/>
          <c:showBubbleSize val="0"/>
        </c:dLbls>
        <c:gapWidth val="219"/>
        <c:overlap val="-27"/>
        <c:axId val="285337856"/>
        <c:axId val="284557312"/>
      </c:barChart>
      <c:catAx>
        <c:axId val="285337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284557312"/>
        <c:crosses val="autoZero"/>
        <c:auto val="1"/>
        <c:lblAlgn val="ctr"/>
        <c:lblOffset val="100"/>
        <c:noMultiLvlLbl val="0"/>
      </c:catAx>
      <c:valAx>
        <c:axId val="28455731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285337856"/>
        <c:crosses val="autoZero"/>
        <c:crossBetween val="between"/>
      </c:valAx>
      <c:spPr>
        <a:noFill/>
        <a:ln>
          <a:noFill/>
        </a:ln>
        <a:effectLst/>
      </c:spPr>
    </c:plotArea>
    <c:plotVisOnly val="1"/>
    <c:dispBlanksAs val="gap"/>
    <c:showDLblsOverMax val="0"/>
  </c:chart>
  <c:spPr>
    <a:solidFill>
      <a:schemeClr val="lt1"/>
    </a:solidFill>
    <a:ln w="25400" cap="flat" cmpd="sng" algn="ctr">
      <a:solidFill>
        <a:schemeClr val="dk1"/>
      </a:solidFill>
      <a:prstDash val="solid"/>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157368</xdr:colOff>
      <xdr:row>3</xdr:row>
      <xdr:rowOff>198783</xdr:rowOff>
    </xdr:from>
    <xdr:to>
      <xdr:col>14</xdr:col>
      <xdr:colOff>33130</xdr:colOff>
      <xdr:row>16</xdr:row>
      <xdr:rowOff>430696</xdr:rowOff>
    </xdr:to>
    <xdr:graphicFrame macro="">
      <xdr:nvGraphicFramePr>
        <xdr:cNvPr id="3" name="Chart 2">
          <a:extLst>
            <a:ext uri="{FF2B5EF4-FFF2-40B4-BE49-F238E27FC236}">
              <a16:creationId xmlns:a16="http://schemas.microsoft.com/office/drawing/2014/main" id="{F495BC6A-713F-46C0-B295-3A7335E2BC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0.46382</cdr:x>
      <cdr:y>0.32735</cdr:y>
    </cdr:from>
    <cdr:to>
      <cdr:x>0.93315</cdr:x>
      <cdr:y>0.52768</cdr:y>
    </cdr:to>
    <cdr:sp macro="" textlink="">
      <cdr:nvSpPr>
        <cdr:cNvPr id="2" name="TextBox 1">
          <a:extLst xmlns:a="http://schemas.openxmlformats.org/drawingml/2006/main">
            <a:ext uri="{FF2B5EF4-FFF2-40B4-BE49-F238E27FC236}">
              <a16:creationId xmlns:a16="http://schemas.microsoft.com/office/drawing/2014/main" id="{D4C85956-561D-4F1A-A82B-43A5AF472401}"/>
            </a:ext>
          </a:extLst>
        </cdr:cNvPr>
        <cdr:cNvSpPr txBox="1"/>
      </cdr:nvSpPr>
      <cdr:spPr>
        <a:xfrm xmlns:a="http://schemas.openxmlformats.org/drawingml/2006/main">
          <a:off x="2216625" y="2204276"/>
          <a:ext cx="2242961" cy="1348964"/>
        </a:xfrm>
        <a:prstGeom xmlns:a="http://schemas.openxmlformats.org/drawingml/2006/main" prst="rect">
          <a:avLst/>
        </a:prstGeom>
      </cdr:spPr>
      <cdr:style>
        <a:lnRef xmlns:a="http://schemas.openxmlformats.org/drawingml/2006/main" idx="2">
          <a:schemeClr val="dk1"/>
        </a:lnRef>
        <a:fillRef xmlns:a="http://schemas.openxmlformats.org/drawingml/2006/main" idx="1">
          <a:schemeClr val="lt1"/>
        </a:fillRef>
        <a:effectRef xmlns:a="http://schemas.openxmlformats.org/drawingml/2006/main" idx="0">
          <a:schemeClr val="dk1"/>
        </a:effectRef>
        <a:fontRef xmlns:a="http://schemas.openxmlformats.org/drawingml/2006/main" idx="minor">
          <a:schemeClr val="dk1"/>
        </a:fontRef>
      </cdr:style>
      <cdr:txBody>
        <a:bodyPr xmlns:a="http://schemas.openxmlformats.org/drawingml/2006/main" vertOverflow="clip" wrap="none" rtlCol="0"/>
        <a:lstStyle xmlns:a="http://schemas.openxmlformats.org/drawingml/2006/main"/>
        <a:p xmlns:a="http://schemas.openxmlformats.org/drawingml/2006/main">
          <a:r>
            <a:rPr lang="en-NZ" sz="1100"/>
            <a:t>Cost inflation in existing policies</a:t>
          </a:r>
          <a:r>
            <a:rPr lang="en-NZ" sz="1100" baseline="0"/>
            <a:t> </a:t>
          </a:r>
        </a:p>
        <a:p xmlns:a="http://schemas.openxmlformats.org/drawingml/2006/main">
          <a:r>
            <a:rPr lang="en-NZ" sz="1100" baseline="0"/>
            <a:t>beyond 2018 </a:t>
          </a:r>
          <a:r>
            <a:rPr lang="en-NZ" sz="1100"/>
            <a:t> could leave Labour </a:t>
          </a:r>
        </a:p>
        <a:p xmlns:a="http://schemas.openxmlformats.org/drawingml/2006/main">
          <a:r>
            <a:rPr lang="en-NZ" sz="1100"/>
            <a:t>with no</a:t>
          </a:r>
          <a:r>
            <a:rPr lang="en-NZ" sz="1100" baseline="0"/>
            <a:t> revenue for new spending</a:t>
          </a:r>
        </a:p>
        <a:p xmlns:a="http://schemas.openxmlformats.org/drawingml/2006/main">
          <a:r>
            <a:rPr lang="en-NZ" sz="1100" baseline="0"/>
            <a:t> initiatives to 2022 and a  $3.3 billion</a:t>
          </a:r>
        </a:p>
        <a:p xmlns:a="http://schemas.openxmlformats.org/drawingml/2006/main">
          <a:r>
            <a:rPr lang="en-NZ" sz="1100" baseline="0"/>
            <a:t> shortfall to boot. That is the</a:t>
          </a:r>
        </a:p>
        <a:p xmlns:a="http://schemas.openxmlformats.org/drawingml/2006/main">
          <a:r>
            <a:rPr lang="en-NZ" sz="1100" baseline="0"/>
            <a:t>implication of a $10.7 billion estimate </a:t>
          </a:r>
        </a:p>
        <a:p xmlns:a="http://schemas.openxmlformats.org/drawingml/2006/main">
          <a:r>
            <a:rPr lang="en-NZ" sz="1100" baseline="0"/>
            <a:t>for cost inflation beyond 2018.</a:t>
          </a:r>
          <a:endParaRPr lang="en-NZ" sz="1100"/>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8</xdr:col>
      <xdr:colOff>590550</xdr:colOff>
      <xdr:row>9</xdr:row>
      <xdr:rowOff>9525</xdr:rowOff>
    </xdr:from>
    <xdr:to>
      <xdr:col>20</xdr:col>
      <xdr:colOff>276224</xdr:colOff>
      <xdr:row>63</xdr:row>
      <xdr:rowOff>42433</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4391025" y="190500"/>
          <a:ext cx="7724774" cy="10853308"/>
        </a:xfrm>
        <a:prstGeom prst="rect">
          <a:avLst/>
        </a:prstGeom>
      </xdr:spPr>
    </xdr:pic>
    <xdr:clientData/>
  </xdr:twoCellAnchor>
  <xdr:twoCellAnchor editAs="oneCell">
    <xdr:from>
      <xdr:col>22</xdr:col>
      <xdr:colOff>0</xdr:colOff>
      <xdr:row>9</xdr:row>
      <xdr:rowOff>0</xdr:rowOff>
    </xdr:from>
    <xdr:to>
      <xdr:col>36</xdr:col>
      <xdr:colOff>388700</xdr:colOff>
      <xdr:row>71</xdr:row>
      <xdr:rowOff>66675</xdr:rowOff>
    </xdr:to>
    <xdr:pic>
      <xdr:nvPicPr>
        <xdr:cNvPr id="4" name="Picture 3">
          <a:extLst>
            <a:ext uri="{FF2B5EF4-FFF2-40B4-BE49-F238E27FC236}">
              <a16:creationId xmlns:a16="http://schemas.microsoft.com/office/drawing/2014/main" id="{B9661CD4-8C5F-4971-80EB-00BA9D4014F0}"/>
            </a:ext>
          </a:extLst>
        </xdr:cNvPr>
        <xdr:cNvPicPr>
          <a:picLocks noChangeAspect="1"/>
        </xdr:cNvPicPr>
      </xdr:nvPicPr>
      <xdr:blipFill>
        <a:blip xmlns:r="http://schemas.openxmlformats.org/officeDocument/2006/relationships" r:embed="rId2"/>
        <a:stretch>
          <a:fillRect/>
        </a:stretch>
      </xdr:blipFill>
      <xdr:spPr>
        <a:xfrm>
          <a:off x="12944475" y="180975"/>
          <a:ext cx="8923100" cy="12334875"/>
        </a:xfrm>
        <a:prstGeom prst="rect">
          <a:avLst/>
        </a:prstGeom>
      </xdr:spPr>
    </xdr:pic>
    <xdr:clientData/>
  </xdr:twoCellAnchor>
  <xdr:twoCellAnchor editAs="oneCell">
    <xdr:from>
      <xdr:col>0</xdr:col>
      <xdr:colOff>0</xdr:colOff>
      <xdr:row>13</xdr:row>
      <xdr:rowOff>0</xdr:rowOff>
    </xdr:from>
    <xdr:to>
      <xdr:col>5</xdr:col>
      <xdr:colOff>971017</xdr:colOff>
      <xdr:row>14</xdr:row>
      <xdr:rowOff>123787</xdr:rowOff>
    </xdr:to>
    <xdr:pic>
      <xdr:nvPicPr>
        <xdr:cNvPr id="6" name="Picture 5">
          <a:extLst>
            <a:ext uri="{FF2B5EF4-FFF2-40B4-BE49-F238E27FC236}">
              <a16:creationId xmlns:a16="http://schemas.microsoft.com/office/drawing/2014/main" id="{FED3AA88-2AB1-4713-9375-90701104E05C}"/>
            </a:ext>
          </a:extLst>
        </xdr:cNvPr>
        <xdr:cNvPicPr>
          <a:picLocks noChangeAspect="1"/>
        </xdr:cNvPicPr>
      </xdr:nvPicPr>
      <xdr:blipFill>
        <a:blip xmlns:r="http://schemas.openxmlformats.org/officeDocument/2006/relationships" r:embed="rId3"/>
        <a:stretch>
          <a:fillRect/>
        </a:stretch>
      </xdr:blipFill>
      <xdr:spPr>
        <a:xfrm>
          <a:off x="0" y="3838575"/>
          <a:ext cx="4266667" cy="304762"/>
        </a:xfrm>
        <a:prstGeom prst="rect">
          <a:avLst/>
        </a:prstGeom>
        <a:ln>
          <a:solidFill>
            <a:schemeClr val="dk1"/>
          </a:solidFill>
        </a:ln>
      </xdr:spPr>
    </xdr:pic>
    <xdr:clientData/>
  </xdr:twoCellAnchor>
  <xdr:twoCellAnchor editAs="oneCell">
    <xdr:from>
      <xdr:col>0</xdr:col>
      <xdr:colOff>0</xdr:colOff>
      <xdr:row>29</xdr:row>
      <xdr:rowOff>0</xdr:rowOff>
    </xdr:from>
    <xdr:to>
      <xdr:col>8</xdr:col>
      <xdr:colOff>495300</xdr:colOff>
      <xdr:row>58</xdr:row>
      <xdr:rowOff>85725</xdr:rowOff>
    </xdr:to>
    <xdr:pic>
      <xdr:nvPicPr>
        <xdr:cNvPr id="8" name="Picture 7">
          <a:extLst>
            <a:ext uri="{FF2B5EF4-FFF2-40B4-BE49-F238E27FC236}">
              <a16:creationId xmlns:a16="http://schemas.microsoft.com/office/drawing/2014/main" id="{39BF420F-30C5-41CC-A759-1DBD7139E357}"/>
            </a:ext>
          </a:extLst>
        </xdr:cNvPr>
        <xdr:cNvPicPr>
          <a:picLocks noChangeAspect="1"/>
        </xdr:cNvPicPr>
      </xdr:nvPicPr>
      <xdr:blipFill>
        <a:blip xmlns:r="http://schemas.openxmlformats.org/officeDocument/2006/relationships" r:embed="rId4"/>
        <a:stretch>
          <a:fillRect/>
        </a:stretch>
      </xdr:blipFill>
      <xdr:spPr>
        <a:xfrm>
          <a:off x="0" y="5324475"/>
          <a:ext cx="5981700" cy="5334000"/>
        </a:xfrm>
        <a:prstGeom prst="rect">
          <a:avLst/>
        </a:prstGeom>
        <a:ln>
          <a:solidFill>
            <a:schemeClr val="dk1"/>
          </a:solidFill>
        </a:ln>
      </xdr:spPr>
    </xdr:pic>
    <xdr:clientData/>
  </xdr:twoCellAnchor>
  <xdr:twoCellAnchor editAs="oneCell">
    <xdr:from>
      <xdr:col>0</xdr:col>
      <xdr:colOff>0</xdr:colOff>
      <xdr:row>62</xdr:row>
      <xdr:rowOff>0</xdr:rowOff>
    </xdr:from>
    <xdr:to>
      <xdr:col>11</xdr:col>
      <xdr:colOff>322874</xdr:colOff>
      <xdr:row>97</xdr:row>
      <xdr:rowOff>151588</xdr:rowOff>
    </xdr:to>
    <xdr:pic>
      <xdr:nvPicPr>
        <xdr:cNvPr id="9" name="Picture 8">
          <a:extLst>
            <a:ext uri="{FF2B5EF4-FFF2-40B4-BE49-F238E27FC236}">
              <a16:creationId xmlns:a16="http://schemas.microsoft.com/office/drawing/2014/main" id="{077A6CD3-A51B-4D61-B5E8-0A542CDE7531}"/>
            </a:ext>
          </a:extLst>
        </xdr:cNvPr>
        <xdr:cNvPicPr>
          <a:picLocks noChangeAspect="1"/>
        </xdr:cNvPicPr>
      </xdr:nvPicPr>
      <xdr:blipFill>
        <a:blip xmlns:r="http://schemas.openxmlformats.org/officeDocument/2006/relationships" r:embed="rId5"/>
        <a:stretch>
          <a:fillRect/>
        </a:stretch>
      </xdr:blipFill>
      <xdr:spPr>
        <a:xfrm>
          <a:off x="0" y="11296650"/>
          <a:ext cx="7809524" cy="6495238"/>
        </a:xfrm>
        <a:prstGeom prst="rect">
          <a:avLst/>
        </a:prstGeom>
        <a:ln>
          <a:solidFill>
            <a:schemeClr val="dk1"/>
          </a:solidFill>
        </a:ln>
      </xdr:spPr>
    </xdr:pic>
    <xdr:clientData/>
  </xdr:twoCellAnchor>
  <xdr:twoCellAnchor editAs="oneCell">
    <xdr:from>
      <xdr:col>13</xdr:col>
      <xdr:colOff>0</xdr:colOff>
      <xdr:row>96</xdr:row>
      <xdr:rowOff>0</xdr:rowOff>
    </xdr:from>
    <xdr:to>
      <xdr:col>30</xdr:col>
      <xdr:colOff>370084</xdr:colOff>
      <xdr:row>102</xdr:row>
      <xdr:rowOff>142721</xdr:rowOff>
    </xdr:to>
    <xdr:pic>
      <xdr:nvPicPr>
        <xdr:cNvPr id="10" name="Picture 9">
          <a:extLst>
            <a:ext uri="{FF2B5EF4-FFF2-40B4-BE49-F238E27FC236}">
              <a16:creationId xmlns:a16="http://schemas.microsoft.com/office/drawing/2014/main" id="{FC595763-CC90-4FA4-B1A5-59BF4A01079F}"/>
            </a:ext>
          </a:extLst>
        </xdr:cNvPr>
        <xdr:cNvPicPr>
          <a:picLocks noChangeAspect="1"/>
        </xdr:cNvPicPr>
      </xdr:nvPicPr>
      <xdr:blipFill>
        <a:blip xmlns:r="http://schemas.openxmlformats.org/officeDocument/2006/relationships" r:embed="rId6"/>
        <a:stretch>
          <a:fillRect/>
        </a:stretch>
      </xdr:blipFill>
      <xdr:spPr>
        <a:xfrm>
          <a:off x="8534400" y="17449800"/>
          <a:ext cx="11123809" cy="1228571"/>
        </a:xfrm>
        <a:prstGeom prst="rect">
          <a:avLst/>
        </a:prstGeom>
      </xdr:spPr>
    </xdr:pic>
    <xdr:clientData/>
  </xdr:twoCellAnchor>
  <xdr:twoCellAnchor editAs="oneCell">
    <xdr:from>
      <xdr:col>0</xdr:col>
      <xdr:colOff>0</xdr:colOff>
      <xdr:row>17</xdr:row>
      <xdr:rowOff>0</xdr:rowOff>
    </xdr:from>
    <xdr:to>
      <xdr:col>8</xdr:col>
      <xdr:colOff>371475</xdr:colOff>
      <xdr:row>23</xdr:row>
      <xdr:rowOff>142721</xdr:rowOff>
    </xdr:to>
    <xdr:pic>
      <xdr:nvPicPr>
        <xdr:cNvPr id="11" name="Picture 10">
          <a:extLst>
            <a:ext uri="{FF2B5EF4-FFF2-40B4-BE49-F238E27FC236}">
              <a16:creationId xmlns:a16="http://schemas.microsoft.com/office/drawing/2014/main" id="{B248CC81-95C4-49A9-ABF4-2DFCBC794D85}"/>
            </a:ext>
          </a:extLst>
        </xdr:cNvPr>
        <xdr:cNvPicPr>
          <a:picLocks noChangeAspect="1"/>
        </xdr:cNvPicPr>
      </xdr:nvPicPr>
      <xdr:blipFill>
        <a:blip xmlns:r="http://schemas.openxmlformats.org/officeDocument/2006/relationships" r:embed="rId6"/>
        <a:stretch>
          <a:fillRect/>
        </a:stretch>
      </xdr:blipFill>
      <xdr:spPr>
        <a:xfrm>
          <a:off x="0" y="4171950"/>
          <a:ext cx="5857875" cy="1228571"/>
        </a:xfrm>
        <a:prstGeom prst="rect">
          <a:avLst/>
        </a:prstGeom>
        <a:ln>
          <a:solidFill>
            <a:schemeClr val="dk1"/>
          </a:solid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509587</xdr:colOff>
      <xdr:row>7</xdr:row>
      <xdr:rowOff>95250</xdr:rowOff>
    </xdr:from>
    <xdr:to>
      <xdr:col>18</xdr:col>
      <xdr:colOff>547687</xdr:colOff>
      <xdr:row>20</xdr:row>
      <xdr:rowOff>95250</xdr:rowOff>
    </xdr:to>
    <xdr:graphicFrame macro="">
      <xdr:nvGraphicFramePr>
        <xdr:cNvPr id="2" name="Chart 1">
          <a:extLst>
            <a:ext uri="{FF2B5EF4-FFF2-40B4-BE49-F238E27FC236}">
              <a16:creationId xmlns:a16="http://schemas.microsoft.com/office/drawing/2014/main" id="{FC7D3C07-CFCE-4D69-A0CD-8AFA215540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labour.org.nz/fiscalplan-newinvestments" TargetMode="External"/><Relationship Id="rId2" Type="http://schemas.openxmlformats.org/officeDocument/2006/relationships/hyperlink" Target="http://www.labour.org.nz/fiscalplan-newinvestments" TargetMode="External"/><Relationship Id="rId1" Type="http://schemas.openxmlformats.org/officeDocument/2006/relationships/hyperlink" Target="https://d3n8a8pro7vhmx.cloudfront.net/nzlabour/pages/8301/attachments/original/1504048898/20170829_-_Labour's_Fiscal_Plan.pdf?1504048898"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treasury.govt.nz/budget/forecasts/prefu2017/prefu17.pdf" TargetMode="External"/><Relationship Id="rId1" Type="http://schemas.openxmlformats.org/officeDocument/2006/relationships/hyperlink" Target="https://d3n8a8pro7vhmx.cloudfront.net/nzlabour/pages/8301/attachments/original/1504048898/20170829_-_Labour's_Fiscal_Plan.pdf?1504048898"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treasury.govt.nz/government/fiscalstrategy/mode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8"/>
  </sheetPr>
  <dimension ref="A1:P95"/>
  <sheetViews>
    <sheetView tabSelected="1" zoomScale="115" zoomScaleNormal="115" workbookViewId="0">
      <selection activeCell="A80" sqref="A80"/>
    </sheetView>
  </sheetViews>
  <sheetFormatPr defaultRowHeight="15" x14ac:dyDescent="0.25"/>
  <cols>
    <col min="1" max="1" width="3.85546875" customWidth="1"/>
    <col min="2" max="2" width="45.42578125" customWidth="1"/>
    <col min="3" max="3" width="13.5703125" style="55" customWidth="1"/>
    <col min="4" max="4" width="13.85546875" style="55" customWidth="1"/>
    <col min="5" max="5" width="9.140625" style="55"/>
    <col min="6" max="6" width="10.85546875" style="55" bestFit="1" customWidth="1"/>
    <col min="7" max="7" width="9.28515625" style="55" customWidth="1"/>
    <col min="8" max="8" width="9.140625" style="55"/>
    <col min="9" max="9" width="2.7109375" style="55" customWidth="1"/>
    <col min="10" max="10" width="38.28515625" style="55" customWidth="1"/>
    <col min="11" max="11" width="13.85546875" style="55" customWidth="1"/>
    <col min="12" max="12" width="13.7109375" customWidth="1"/>
    <col min="13" max="15" width="10.140625" bestFit="1" customWidth="1"/>
    <col min="16" max="16" width="10.7109375" customWidth="1"/>
    <col min="17" max="17" width="2.7109375" customWidth="1"/>
  </cols>
  <sheetData>
    <row r="1" spans="1:12" ht="21" x14ac:dyDescent="0.35">
      <c r="A1" s="83" t="s">
        <v>107</v>
      </c>
    </row>
    <row r="2" spans="1:12" ht="15.75" x14ac:dyDescent="0.25">
      <c r="A2" s="209" t="s">
        <v>185</v>
      </c>
      <c r="J2" s="168" t="s">
        <v>179</v>
      </c>
    </row>
    <row r="3" spans="1:12" ht="81.75" customHeight="1" x14ac:dyDescent="0.25">
      <c r="A3" s="223" t="s">
        <v>184</v>
      </c>
      <c r="B3" s="223"/>
      <c r="C3" s="223"/>
      <c r="D3" s="223"/>
      <c r="E3" s="223"/>
      <c r="F3" s="223"/>
      <c r="J3" s="39" t="s">
        <v>183</v>
      </c>
      <c r="K3" s="57">
        <f>D30</f>
        <v>7528</v>
      </c>
      <c r="L3" s="138">
        <f>D73</f>
        <v>-3171.2950105832424</v>
      </c>
    </row>
    <row r="4" spans="1:12" ht="21" x14ac:dyDescent="0.35">
      <c r="A4" t="s">
        <v>186</v>
      </c>
      <c r="B4" s="83"/>
    </row>
    <row r="5" spans="1:12" ht="65.25" customHeight="1" x14ac:dyDescent="0.25">
      <c r="A5" s="224" t="s">
        <v>192</v>
      </c>
      <c r="B5" s="224"/>
      <c r="C5" s="224"/>
      <c r="D5" s="224"/>
      <c r="E5" s="224"/>
      <c r="F5" s="224"/>
    </row>
    <row r="6" spans="1:12" ht="51" customHeight="1" x14ac:dyDescent="0.25">
      <c r="A6" s="223" t="s">
        <v>193</v>
      </c>
      <c r="B6" s="223"/>
      <c r="C6" s="223"/>
      <c r="D6" s="223"/>
      <c r="E6" s="223"/>
      <c r="F6" s="223"/>
    </row>
    <row r="8" spans="1:12" ht="18.75" x14ac:dyDescent="0.3">
      <c r="A8" s="130" t="s">
        <v>113</v>
      </c>
    </row>
    <row r="9" spans="1:12" ht="21.75" customHeight="1" x14ac:dyDescent="0.25">
      <c r="B9" s="80" t="s">
        <v>109</v>
      </c>
    </row>
    <row r="10" spans="1:12" x14ac:dyDescent="0.25">
      <c r="B10" t="s">
        <v>162</v>
      </c>
    </row>
    <row r="11" spans="1:12" s="80" customFormat="1" ht="35.25" customHeight="1" x14ac:dyDescent="0.25">
      <c r="B11" s="223" t="s">
        <v>163</v>
      </c>
      <c r="C11" s="223"/>
      <c r="D11" s="223"/>
      <c r="E11" s="223"/>
      <c r="F11" s="223"/>
      <c r="G11" s="79"/>
      <c r="H11" s="79"/>
      <c r="I11" s="79"/>
      <c r="J11" s="79"/>
      <c r="K11" s="79"/>
    </row>
    <row r="12" spans="1:12" s="80" customFormat="1" ht="65.25" customHeight="1" x14ac:dyDescent="0.25">
      <c r="B12" s="223" t="s">
        <v>187</v>
      </c>
      <c r="C12" s="223"/>
      <c r="D12" s="223"/>
      <c r="E12" s="223"/>
      <c r="F12" s="223"/>
      <c r="G12" s="79"/>
      <c r="H12" s="79"/>
      <c r="I12" s="79"/>
      <c r="J12" s="79"/>
      <c r="K12" s="79"/>
    </row>
    <row r="13" spans="1:12" s="80" customFormat="1" ht="69.75" customHeight="1" x14ac:dyDescent="0.25">
      <c r="B13" s="223" t="s">
        <v>188</v>
      </c>
      <c r="C13" s="223"/>
      <c r="D13" s="223"/>
      <c r="E13" s="223"/>
      <c r="F13" s="223"/>
      <c r="G13" s="210" t="s">
        <v>180</v>
      </c>
      <c r="H13" s="79"/>
      <c r="I13" s="79"/>
      <c r="J13" s="79"/>
      <c r="K13" s="79"/>
    </row>
    <row r="14" spans="1:12" s="80" customFormat="1" ht="54.75" customHeight="1" x14ac:dyDescent="0.25">
      <c r="B14" s="223" t="s">
        <v>181</v>
      </c>
      <c r="C14" s="223"/>
      <c r="D14" s="223"/>
      <c r="E14" s="223"/>
      <c r="F14" s="223"/>
      <c r="G14" s="79"/>
      <c r="H14" s="79"/>
      <c r="I14" s="79"/>
      <c r="J14" s="79"/>
      <c r="K14" s="79"/>
    </row>
    <row r="15" spans="1:12" s="80" customFormat="1" x14ac:dyDescent="0.25">
      <c r="B15" t="s">
        <v>121</v>
      </c>
      <c r="C15" s="55"/>
      <c r="D15" s="55"/>
      <c r="E15" s="55"/>
      <c r="F15" s="55"/>
      <c r="G15" s="79"/>
      <c r="H15" s="79"/>
      <c r="I15" s="79"/>
      <c r="J15" s="79"/>
      <c r="K15" s="79"/>
    </row>
    <row r="16" spans="1:12" s="80" customFormat="1" ht="38.25" customHeight="1" x14ac:dyDescent="0.25">
      <c r="B16" s="223" t="s">
        <v>182</v>
      </c>
      <c r="C16" s="223"/>
      <c r="D16" s="223"/>
      <c r="E16" s="223"/>
      <c r="F16" s="223"/>
      <c r="G16" s="79"/>
      <c r="H16" s="79"/>
      <c r="I16" s="79"/>
      <c r="J16" s="79"/>
      <c r="K16" s="79"/>
    </row>
    <row r="17" spans="1:16" s="80" customFormat="1" ht="42" customHeight="1" x14ac:dyDescent="0.25">
      <c r="B17" s="223" t="s">
        <v>128</v>
      </c>
      <c r="C17" s="223"/>
      <c r="D17" s="223"/>
      <c r="E17" s="223"/>
      <c r="F17" s="223"/>
      <c r="G17" s="79"/>
      <c r="H17" s="79"/>
      <c r="I17" s="79"/>
      <c r="J17" s="79"/>
      <c r="K17" s="79"/>
    </row>
    <row r="18" spans="1:16" s="80" customFormat="1" ht="35.25" customHeight="1" x14ac:dyDescent="0.25">
      <c r="B18" s="223" t="s">
        <v>189</v>
      </c>
      <c r="C18" s="223"/>
      <c r="D18" s="223"/>
      <c r="E18" s="223"/>
      <c r="F18" s="223"/>
      <c r="G18" s="79"/>
      <c r="H18" s="79"/>
      <c r="I18" s="79"/>
      <c r="J18" s="79"/>
      <c r="K18" s="79"/>
    </row>
    <row r="19" spans="1:16" s="80" customFormat="1" ht="53.25" customHeight="1" x14ac:dyDescent="0.25">
      <c r="B19" s="223" t="s">
        <v>190</v>
      </c>
      <c r="C19" s="223"/>
      <c r="D19" s="223"/>
      <c r="E19" s="223"/>
      <c r="F19" s="223"/>
      <c r="G19" s="79"/>
      <c r="H19" s="79"/>
      <c r="I19" s="79"/>
      <c r="J19" s="79"/>
      <c r="K19" s="79"/>
    </row>
    <row r="20" spans="1:16" s="80" customFormat="1" ht="108" customHeight="1" x14ac:dyDescent="0.25">
      <c r="B20" s="223" t="s">
        <v>191</v>
      </c>
      <c r="C20" s="223"/>
      <c r="D20" s="223"/>
      <c r="E20" s="223"/>
      <c r="F20" s="223"/>
      <c r="G20" s="79"/>
      <c r="H20" s="79"/>
      <c r="I20" s="79"/>
      <c r="J20" s="79"/>
      <c r="K20" s="79"/>
    </row>
    <row r="21" spans="1:16" x14ac:dyDescent="0.25">
      <c r="B21" s="223"/>
      <c r="C21" s="223"/>
      <c r="D21" s="223"/>
      <c r="E21" s="223"/>
      <c r="F21" s="223"/>
      <c r="G21" s="81"/>
      <c r="H21" s="81"/>
    </row>
    <row r="22" spans="1:16" ht="18.75" x14ac:dyDescent="0.3">
      <c r="A22" s="130" t="s">
        <v>114</v>
      </c>
    </row>
    <row r="23" spans="1:16" x14ac:dyDescent="0.25">
      <c r="A23" s="58"/>
      <c r="B23" s="82" t="s">
        <v>106</v>
      </c>
      <c r="C23" s="59"/>
      <c r="D23" s="59"/>
      <c r="E23" s="59"/>
      <c r="F23" s="59"/>
      <c r="G23" s="60"/>
      <c r="P23" s="55"/>
    </row>
    <row r="24" spans="1:16" x14ac:dyDescent="0.25">
      <c r="A24" s="61"/>
      <c r="B24" s="62"/>
      <c r="C24" s="63"/>
      <c r="D24" s="63"/>
      <c r="E24" s="63"/>
      <c r="F24" s="63"/>
      <c r="G24" s="64"/>
    </row>
    <row r="25" spans="1:16" x14ac:dyDescent="0.25">
      <c r="A25" s="61"/>
      <c r="B25" s="62"/>
      <c r="C25" s="63"/>
      <c r="D25" s="63"/>
      <c r="E25" s="63"/>
      <c r="F25" s="63"/>
      <c r="G25" s="64"/>
    </row>
    <row r="26" spans="1:16" ht="18.75" x14ac:dyDescent="0.3">
      <c r="A26" s="61"/>
      <c r="B26" s="65"/>
      <c r="C26" s="227" t="s">
        <v>95</v>
      </c>
      <c r="D26" s="227"/>
      <c r="E26" s="227"/>
      <c r="F26" s="227"/>
      <c r="G26" s="64"/>
    </row>
    <row r="27" spans="1:16" ht="30" customHeight="1" x14ac:dyDescent="0.25">
      <c r="A27" s="61"/>
      <c r="B27" s="62"/>
      <c r="C27" s="226" t="s">
        <v>86</v>
      </c>
      <c r="D27" s="226" t="s">
        <v>87</v>
      </c>
      <c r="E27" s="225" t="s">
        <v>91</v>
      </c>
      <c r="F27" s="225"/>
      <c r="G27" s="64"/>
    </row>
    <row r="28" spans="1:16" x14ac:dyDescent="0.25">
      <c r="A28" s="61"/>
      <c r="B28" s="66" t="s">
        <v>90</v>
      </c>
      <c r="C28" s="226"/>
      <c r="D28" s="226"/>
      <c r="E28" s="67" t="s">
        <v>92</v>
      </c>
      <c r="F28" s="67" t="s">
        <v>105</v>
      </c>
      <c r="G28" s="64"/>
    </row>
    <row r="29" spans="1:16" x14ac:dyDescent="0.25">
      <c r="A29" s="61"/>
      <c r="B29" s="62" t="s">
        <v>88</v>
      </c>
      <c r="C29" s="68">
        <f>SUM('LFP &amp; Total Crown'!F21:J21)</f>
        <v>543950.48643772071</v>
      </c>
      <c r="D29" s="68">
        <f>SUM('LFP &amp; Total Crown'!F45:J45)</f>
        <v>567420</v>
      </c>
      <c r="E29" s="69">
        <f>D29/C29-1</f>
        <v>4.3146415248157766E-2</v>
      </c>
      <c r="F29" s="68">
        <f>D29-C29</f>
        <v>23469.513562279288</v>
      </c>
      <c r="G29" s="64"/>
    </row>
    <row r="30" spans="1:16" x14ac:dyDescent="0.25">
      <c r="A30" s="61"/>
      <c r="B30" s="62" t="s">
        <v>89</v>
      </c>
      <c r="C30" s="68">
        <f>SUM('LFP &amp; Total Crown'!F22:J22)</f>
        <v>19262</v>
      </c>
      <c r="D30" s="68">
        <f>SUM('LFP &amp; Total Crown'!F46:J46)</f>
        <v>7528</v>
      </c>
      <c r="E30" s="69">
        <f>D30/C30-1</f>
        <v>-0.60917869380126677</v>
      </c>
      <c r="F30" s="68">
        <f>D30-C30</f>
        <v>-11734</v>
      </c>
      <c r="G30" s="64"/>
    </row>
    <row r="31" spans="1:16" x14ac:dyDescent="0.25">
      <c r="A31" s="61"/>
      <c r="B31" s="75" t="s">
        <v>115</v>
      </c>
      <c r="C31" s="68">
        <f>'LFP &amp; Total Crown'!K23</f>
        <v>-3290</v>
      </c>
      <c r="D31" s="68">
        <f>C31</f>
        <v>-3290</v>
      </c>
      <c r="E31" s="63">
        <v>0</v>
      </c>
      <c r="F31" s="63">
        <v>0</v>
      </c>
      <c r="G31" s="64"/>
    </row>
    <row r="32" spans="1:16" ht="15.75" thickBot="1" x14ac:dyDescent="0.3">
      <c r="A32" s="61"/>
      <c r="B32" s="131" t="s">
        <v>116</v>
      </c>
      <c r="C32" s="70">
        <f>SUM('LFP &amp; Total Crown'!F24:J24)</f>
        <v>559922.48643772071</v>
      </c>
      <c r="D32" s="70">
        <f>SUM('LFP &amp; Total Crown'!F48:J48)</f>
        <v>571662</v>
      </c>
      <c r="E32" s="71">
        <f t="shared" ref="E32" si="0">D32/C32-1</f>
        <v>2.0966319172082581E-2</v>
      </c>
      <c r="F32" s="70">
        <f t="shared" ref="F32" si="1">D32-C32</f>
        <v>11739.513562279288</v>
      </c>
      <c r="G32" s="64"/>
      <c r="J32" s="57"/>
    </row>
    <row r="33" spans="1:10" ht="15.75" thickTop="1" x14ac:dyDescent="0.25">
      <c r="A33" s="61"/>
      <c r="B33" s="62"/>
      <c r="C33" s="68"/>
      <c r="D33" s="68"/>
      <c r="E33" s="69"/>
      <c r="F33" s="68"/>
      <c r="G33" s="64"/>
      <c r="J33" s="57"/>
    </row>
    <row r="34" spans="1:10" x14ac:dyDescent="0.25">
      <c r="A34" s="61"/>
      <c r="B34" s="62"/>
      <c r="C34" s="63"/>
      <c r="D34" s="63"/>
      <c r="E34" s="63"/>
      <c r="F34" s="63"/>
      <c r="G34" s="64"/>
    </row>
    <row r="35" spans="1:10" x14ac:dyDescent="0.25">
      <c r="A35" s="61"/>
      <c r="B35" s="62" t="s">
        <v>123</v>
      </c>
      <c r="C35" s="63"/>
      <c r="D35" s="63"/>
      <c r="E35" s="63"/>
      <c r="F35" s="63"/>
      <c r="G35" s="64"/>
    </row>
    <row r="36" spans="1:10" x14ac:dyDescent="0.25">
      <c r="A36" s="61"/>
      <c r="B36" s="62" t="s">
        <v>93</v>
      </c>
      <c r="C36" s="63"/>
      <c r="D36" s="63"/>
      <c r="E36" s="63"/>
      <c r="F36" s="68">
        <f>'Labour Fiscal Plan'!K9</f>
        <v>9731</v>
      </c>
      <c r="G36" s="64"/>
    </row>
    <row r="37" spans="1:10" ht="15.75" thickBot="1" x14ac:dyDescent="0.3">
      <c r="A37" s="61"/>
      <c r="B37" s="62" t="s">
        <v>94</v>
      </c>
      <c r="C37" s="63"/>
      <c r="D37" s="63"/>
      <c r="E37" s="63"/>
      <c r="F37" s="72">
        <f>F32-F36</f>
        <v>2008.5135622792877</v>
      </c>
      <c r="G37" s="64"/>
    </row>
    <row r="38" spans="1:10" ht="16.5" thickTop="1" thickBot="1" x14ac:dyDescent="0.3">
      <c r="A38" s="61"/>
      <c r="B38" s="62"/>
      <c r="C38" s="63"/>
      <c r="D38" s="63"/>
      <c r="E38" s="63"/>
      <c r="F38" s="73">
        <f>SUM(F36:F37)</f>
        <v>11739.513562279288</v>
      </c>
      <c r="G38" s="64"/>
    </row>
    <row r="39" spans="1:10" ht="15.75" thickTop="1" x14ac:dyDescent="0.25">
      <c r="A39" s="74"/>
      <c r="B39" s="75"/>
      <c r="C39" s="76"/>
      <c r="D39" s="76"/>
      <c r="E39" s="76"/>
      <c r="F39" s="77"/>
      <c r="G39" s="78"/>
    </row>
    <row r="40" spans="1:10" x14ac:dyDescent="0.25">
      <c r="F40" s="57"/>
    </row>
    <row r="41" spans="1:10" ht="36" customHeight="1" x14ac:dyDescent="0.25">
      <c r="A41" s="112"/>
      <c r="B41" s="229" t="s">
        <v>108</v>
      </c>
      <c r="C41" s="229"/>
      <c r="D41" s="229"/>
      <c r="E41" s="229"/>
      <c r="F41" s="229"/>
      <c r="G41" s="229"/>
      <c r="H41" s="113"/>
      <c r="I41" s="114"/>
    </row>
    <row r="42" spans="1:10" x14ac:dyDescent="0.25">
      <c r="A42" s="115"/>
      <c r="B42" s="116"/>
      <c r="C42" s="116"/>
      <c r="D42" s="117"/>
      <c r="E42" s="117"/>
      <c r="F42" s="117"/>
      <c r="G42" s="117"/>
      <c r="H42" s="117"/>
      <c r="I42" s="118"/>
    </row>
    <row r="43" spans="1:10" x14ac:dyDescent="0.25">
      <c r="A43" s="115"/>
      <c r="B43" s="116"/>
      <c r="C43" s="119">
        <v>2018</v>
      </c>
      <c r="D43" s="119">
        <v>2019</v>
      </c>
      <c r="E43" s="119">
        <v>2020</v>
      </c>
      <c r="F43" s="119">
        <v>2021</v>
      </c>
      <c r="G43" s="119">
        <v>2022</v>
      </c>
      <c r="H43" s="117"/>
      <c r="I43" s="118"/>
    </row>
    <row r="44" spans="1:10" x14ac:dyDescent="0.25">
      <c r="A44" s="115"/>
      <c r="B44" s="120" t="s">
        <v>97</v>
      </c>
      <c r="C44" s="116"/>
      <c r="D44" s="117"/>
      <c r="E44" s="117"/>
      <c r="F44" s="117"/>
      <c r="G44" s="117"/>
      <c r="H44" s="117"/>
      <c r="I44" s="118"/>
    </row>
    <row r="45" spans="1:10" x14ac:dyDescent="0.25">
      <c r="A45" s="115"/>
      <c r="B45" s="121" t="s">
        <v>33</v>
      </c>
      <c r="C45" s="116"/>
      <c r="D45" s="122">
        <v>1.9323671497584627E-2</v>
      </c>
      <c r="E45" s="122">
        <v>2.0537124802527673E-2</v>
      </c>
      <c r="F45" s="122">
        <v>2.0897832817337481E-2</v>
      </c>
      <c r="G45" s="122">
        <v>2.0000000000000018E-2</v>
      </c>
      <c r="H45" s="117"/>
      <c r="I45" s="118"/>
    </row>
    <row r="46" spans="1:10" x14ac:dyDescent="0.25">
      <c r="A46" s="115"/>
      <c r="B46" s="121" t="s">
        <v>96</v>
      </c>
      <c r="C46" s="116"/>
      <c r="D46" s="122">
        <v>2.8799999999999999E-2</v>
      </c>
      <c r="E46" s="122">
        <v>2.7199999999999998E-2</v>
      </c>
      <c r="F46" s="122">
        <v>2.6599999999999999E-2</v>
      </c>
      <c r="G46" s="122">
        <v>3.4789999999999877E-2</v>
      </c>
      <c r="H46" s="117"/>
      <c r="I46" s="118"/>
    </row>
    <row r="47" spans="1:10" x14ac:dyDescent="0.25">
      <c r="A47" s="115"/>
      <c r="B47" s="120" t="s">
        <v>98</v>
      </c>
      <c r="C47" s="116"/>
      <c r="D47" s="117"/>
      <c r="E47" s="117"/>
      <c r="F47" s="117"/>
      <c r="G47" s="117"/>
      <c r="H47" s="117"/>
      <c r="I47" s="118"/>
    </row>
    <row r="48" spans="1:10" x14ac:dyDescent="0.25">
      <c r="A48" s="115"/>
      <c r="B48" s="121" t="s">
        <v>33</v>
      </c>
      <c r="C48" s="116"/>
      <c r="D48" s="123">
        <f>'Core Crown'!G11</f>
        <v>1.9323671497584627E-2</v>
      </c>
      <c r="E48" s="123">
        <f>'Core Crown'!H11</f>
        <v>4.0257648953301306E-2</v>
      </c>
      <c r="F48" s="123">
        <f>'Core Crown'!I11</f>
        <v>6.1996779388084011E-2</v>
      </c>
      <c r="G48" s="123">
        <f>'Core Crown'!J11</f>
        <v>8.3236714975845727E-2</v>
      </c>
      <c r="H48" s="117"/>
      <c r="I48" s="118"/>
    </row>
    <row r="49" spans="1:9" x14ac:dyDescent="0.25">
      <c r="A49" s="115"/>
      <c r="B49" s="121" t="s">
        <v>96</v>
      </c>
      <c r="C49" s="116"/>
      <c r="D49" s="123">
        <f>'Core Crown'!G12</f>
        <v>2.8799999999999999E-2</v>
      </c>
      <c r="E49" s="123">
        <f>'Core Crown'!H12</f>
        <v>5.6783359999999838E-2</v>
      </c>
      <c r="F49" s="123">
        <f>'Core Crown'!I12</f>
        <v>8.489379737599978E-2</v>
      </c>
      <c r="G49" s="123">
        <f>'Core Crown'!J12</f>
        <v>0.12263725258671077</v>
      </c>
      <c r="H49" s="117"/>
      <c r="I49" s="118"/>
    </row>
    <row r="50" spans="1:9" x14ac:dyDescent="0.25">
      <c r="A50" s="115"/>
      <c r="B50" s="116"/>
      <c r="C50" s="116"/>
      <c r="D50" s="117"/>
      <c r="E50" s="117"/>
      <c r="F50" s="117"/>
      <c r="G50" s="117"/>
      <c r="H50" s="117"/>
      <c r="I50" s="118"/>
    </row>
    <row r="51" spans="1:9" x14ac:dyDescent="0.25">
      <c r="A51" s="115"/>
      <c r="B51" s="121" t="s">
        <v>99</v>
      </c>
      <c r="C51" s="116"/>
      <c r="D51" s="117"/>
      <c r="E51" s="117"/>
      <c r="F51" s="117"/>
      <c r="G51" s="117"/>
      <c r="H51" s="117"/>
      <c r="I51" s="118"/>
    </row>
    <row r="52" spans="1:9" x14ac:dyDescent="0.25">
      <c r="A52" s="115"/>
      <c r="B52" s="120" t="s">
        <v>100</v>
      </c>
      <c r="C52" s="116"/>
      <c r="D52" s="117"/>
      <c r="E52" s="117"/>
      <c r="F52" s="117"/>
      <c r="G52" s="117"/>
      <c r="H52" s="85" t="s">
        <v>101</v>
      </c>
      <c r="I52" s="118"/>
    </row>
    <row r="53" spans="1:9" x14ac:dyDescent="0.25">
      <c r="A53" s="115"/>
      <c r="B53" s="121" t="s">
        <v>4</v>
      </c>
      <c r="C53" s="124">
        <f>'Core Crown'!F16*1000</f>
        <v>7174</v>
      </c>
      <c r="D53" s="124">
        <f>'Core Crown'!G16*1000</f>
        <v>7167</v>
      </c>
      <c r="E53" s="124">
        <f>'Core Crown'!H16*1000</f>
        <v>7141</v>
      </c>
      <c r="F53" s="124">
        <f>'Core Crown'!I16*1000</f>
        <v>7151</v>
      </c>
      <c r="G53" s="124">
        <f>'Core Crown'!J16*1000</f>
        <v>7094.9248194873171</v>
      </c>
      <c r="H53" s="86">
        <f>SUM(C53:G53)</f>
        <v>35727.924819487314</v>
      </c>
      <c r="I53" s="118"/>
    </row>
    <row r="54" spans="1:9" x14ac:dyDescent="0.25">
      <c r="A54" s="115"/>
      <c r="B54" s="87" t="s">
        <v>6</v>
      </c>
      <c r="C54" s="124">
        <f>'Core Crown'!F18*1000</f>
        <v>42787</v>
      </c>
      <c r="D54" s="124">
        <f>'Core Crown'!G18*1000</f>
        <v>42178</v>
      </c>
      <c r="E54" s="124">
        <f>'Core Crown'!H18*1000</f>
        <v>41945</v>
      </c>
      <c r="F54" s="124">
        <f>'Core Crown'!I18*1000</f>
        <v>42474</v>
      </c>
      <c r="G54" s="124">
        <f>'Core Crown'!J18*1000</f>
        <v>41776.344683047602</v>
      </c>
      <c r="H54" s="88">
        <f>SUM(C54:G54)</f>
        <v>211160.34468304762</v>
      </c>
      <c r="I54" s="118"/>
    </row>
    <row r="55" spans="1:9" ht="15.75" thickBot="1" x14ac:dyDescent="0.3">
      <c r="A55" s="115"/>
      <c r="B55" s="89" t="s">
        <v>102</v>
      </c>
      <c r="C55" s="90">
        <f>SUM(C53:C54)</f>
        <v>49961</v>
      </c>
      <c r="D55" s="90">
        <f t="shared" ref="D55:G55" si="2">SUM(D53:D54)</f>
        <v>49345</v>
      </c>
      <c r="E55" s="90">
        <f t="shared" si="2"/>
        <v>49086</v>
      </c>
      <c r="F55" s="90">
        <f t="shared" si="2"/>
        <v>49625</v>
      </c>
      <c r="G55" s="90">
        <f t="shared" si="2"/>
        <v>48871.269502534917</v>
      </c>
      <c r="H55" s="91">
        <f>SUM(C55:G55)</f>
        <v>246888.26950253491</v>
      </c>
      <c r="I55" s="118"/>
    </row>
    <row r="56" spans="1:9" ht="15.75" thickTop="1" x14ac:dyDescent="0.25">
      <c r="A56" s="115"/>
      <c r="B56" s="116"/>
      <c r="C56" s="116"/>
      <c r="D56" s="117"/>
      <c r="E56" s="117"/>
      <c r="F56" s="117"/>
      <c r="G56" s="117"/>
      <c r="H56" s="117"/>
      <c r="I56" s="118"/>
    </row>
    <row r="57" spans="1:9" ht="33" customHeight="1" x14ac:dyDescent="0.25">
      <c r="A57" s="115"/>
      <c r="B57" s="228" t="s">
        <v>103</v>
      </c>
      <c r="C57" s="228"/>
      <c r="D57" s="228"/>
      <c r="E57" s="228"/>
      <c r="F57" s="228"/>
      <c r="G57" s="228"/>
      <c r="H57" s="228"/>
      <c r="I57" s="118"/>
    </row>
    <row r="58" spans="1:9" x14ac:dyDescent="0.25">
      <c r="A58" s="115"/>
      <c r="B58" s="121" t="s">
        <v>4</v>
      </c>
      <c r="C58" s="124">
        <f>C53</f>
        <v>7174</v>
      </c>
      <c r="D58" s="124">
        <f>D53*(1+D49)</f>
        <v>7373.4096</v>
      </c>
      <c r="E58" s="124">
        <f t="shared" ref="E58:G58" si="3">E53*(1+E49)</f>
        <v>7546.489973759999</v>
      </c>
      <c r="F58" s="124">
        <f t="shared" si="3"/>
        <v>7758.0755450357747</v>
      </c>
      <c r="G58" s="124">
        <f t="shared" si="3"/>
        <v>7965.0269066585061</v>
      </c>
      <c r="H58" s="86">
        <f>SUM(C58:G58)</f>
        <v>37817.002025454276</v>
      </c>
      <c r="I58" s="118"/>
    </row>
    <row r="59" spans="1:9" x14ac:dyDescent="0.25">
      <c r="A59" s="115"/>
      <c r="B59" s="87" t="s">
        <v>6</v>
      </c>
      <c r="C59" s="124">
        <f>C54</f>
        <v>42787</v>
      </c>
      <c r="D59" s="124">
        <f>D54*(1+D48)</f>
        <v>42993.033816425122</v>
      </c>
      <c r="E59" s="124">
        <f t="shared" ref="E59:G59" si="4">E54*(1+E48)</f>
        <v>43633.607085346222</v>
      </c>
      <c r="F59" s="124">
        <f t="shared" si="4"/>
        <v>45107.251207729481</v>
      </c>
      <c r="G59" s="124">
        <f t="shared" si="4"/>
        <v>45253.670378163122</v>
      </c>
      <c r="H59" s="88">
        <f>SUM(C59:G59)</f>
        <v>219774.56248766393</v>
      </c>
      <c r="I59" s="118"/>
    </row>
    <row r="60" spans="1:9" ht="15.75" thickBot="1" x14ac:dyDescent="0.3">
      <c r="A60" s="115"/>
      <c r="B60" s="89" t="s">
        <v>102</v>
      </c>
      <c r="C60" s="90">
        <f>SUM(C58:C59)</f>
        <v>49961</v>
      </c>
      <c r="D60" s="90">
        <f t="shared" ref="D60" si="5">SUM(D58:D59)</f>
        <v>50366.443416425122</v>
      </c>
      <c r="E60" s="90">
        <f t="shared" ref="E60" si="6">SUM(E58:E59)</f>
        <v>51180.097059106221</v>
      </c>
      <c r="F60" s="90">
        <f t="shared" ref="F60" si="7">SUM(F58:F59)</f>
        <v>52865.326752765257</v>
      </c>
      <c r="G60" s="90">
        <f t="shared" ref="G60" si="8">SUM(G58:G59)</f>
        <v>53218.697284821625</v>
      </c>
      <c r="H60" s="91">
        <f>SUM(C60:G60)</f>
        <v>257591.56451311821</v>
      </c>
      <c r="I60" s="118"/>
    </row>
    <row r="61" spans="1:9" ht="15.75" thickTop="1" x14ac:dyDescent="0.25">
      <c r="A61" s="115"/>
      <c r="B61" s="116"/>
      <c r="C61" s="116"/>
      <c r="D61" s="117"/>
      <c r="E61" s="117"/>
      <c r="F61" s="117"/>
      <c r="G61" s="117"/>
      <c r="H61" s="117"/>
      <c r="I61" s="118"/>
    </row>
    <row r="62" spans="1:9" ht="15.75" thickBot="1" x14ac:dyDescent="0.3">
      <c r="A62" s="115"/>
      <c r="B62" s="121" t="s">
        <v>104</v>
      </c>
      <c r="C62" s="116"/>
      <c r="D62" s="117"/>
      <c r="E62" s="117"/>
      <c r="F62" s="117"/>
      <c r="G62" s="117"/>
      <c r="H62" s="117"/>
      <c r="I62" s="118"/>
    </row>
    <row r="63" spans="1:9" ht="15.75" thickBot="1" x14ac:dyDescent="0.3">
      <c r="A63" s="115"/>
      <c r="B63" s="89" t="s">
        <v>102</v>
      </c>
      <c r="C63" s="124">
        <f>C60-C55</f>
        <v>0</v>
      </c>
      <c r="D63" s="124">
        <f t="shared" ref="D63:G63" si="9">D60-D55</f>
        <v>1021.4434164251215</v>
      </c>
      <c r="E63" s="124">
        <f t="shared" si="9"/>
        <v>2094.0970591062214</v>
      </c>
      <c r="F63" s="124">
        <f t="shared" si="9"/>
        <v>3240.326752765257</v>
      </c>
      <c r="G63" s="124">
        <f t="shared" si="9"/>
        <v>4347.427782286708</v>
      </c>
      <c r="H63" s="84">
        <f>H60-H55</f>
        <v>10703.295010583301</v>
      </c>
      <c r="I63" s="118"/>
    </row>
    <row r="64" spans="1:9" x14ac:dyDescent="0.25">
      <c r="A64" s="125"/>
      <c r="B64" s="126"/>
      <c r="C64" s="126"/>
      <c r="D64" s="127"/>
      <c r="E64" s="127"/>
      <c r="F64" s="127"/>
      <c r="G64" s="127"/>
      <c r="H64" s="128">
        <f>H63/C30</f>
        <v>0.5556689342011889</v>
      </c>
      <c r="I64" s="129"/>
    </row>
    <row r="65" spans="1:9" x14ac:dyDescent="0.25">
      <c r="A65" s="55"/>
      <c r="B65" s="55"/>
      <c r="D65"/>
      <c r="E65"/>
      <c r="F65"/>
      <c r="G65"/>
      <c r="H65"/>
      <c r="I65"/>
    </row>
    <row r="66" spans="1:9" x14ac:dyDescent="0.25">
      <c r="A66" s="55"/>
      <c r="B66" s="55"/>
      <c r="D66"/>
      <c r="E66"/>
      <c r="F66"/>
      <c r="G66"/>
      <c r="H66" s="56"/>
      <c r="I66"/>
    </row>
    <row r="67" spans="1:9" x14ac:dyDescent="0.25">
      <c r="A67" s="102"/>
      <c r="B67" s="103"/>
      <c r="C67" s="104"/>
      <c r="D67" s="104"/>
      <c r="E67" s="104"/>
      <c r="F67" s="104"/>
      <c r="G67" s="105"/>
    </row>
    <row r="68" spans="1:9" x14ac:dyDescent="0.25">
      <c r="A68" s="106"/>
      <c r="B68" s="94" t="s">
        <v>120</v>
      </c>
      <c r="C68" s="101"/>
      <c r="D68" s="101"/>
      <c r="E68" s="101"/>
      <c r="F68" s="101"/>
      <c r="G68" s="107"/>
    </row>
    <row r="69" spans="1:9" ht="18.75" x14ac:dyDescent="0.3">
      <c r="A69" s="106"/>
      <c r="B69" s="92"/>
      <c r="C69" s="230" t="s">
        <v>95</v>
      </c>
      <c r="D69" s="230"/>
      <c r="E69" s="230"/>
      <c r="F69" s="230"/>
      <c r="G69" s="107"/>
    </row>
    <row r="70" spans="1:9" x14ac:dyDescent="0.25">
      <c r="A70" s="106"/>
      <c r="B70" s="93"/>
      <c r="C70" s="231" t="s">
        <v>86</v>
      </c>
      <c r="D70" s="231" t="s">
        <v>87</v>
      </c>
      <c r="E70" s="232" t="s">
        <v>119</v>
      </c>
      <c r="F70" s="232"/>
      <c r="G70" s="107"/>
    </row>
    <row r="71" spans="1:9" x14ac:dyDescent="0.25">
      <c r="A71" s="106"/>
      <c r="B71" s="94" t="s">
        <v>90</v>
      </c>
      <c r="C71" s="231"/>
      <c r="D71" s="231"/>
      <c r="E71" s="95" t="s">
        <v>92</v>
      </c>
      <c r="F71" s="95" t="s">
        <v>105</v>
      </c>
      <c r="G71" s="107"/>
    </row>
    <row r="72" spans="1:9" x14ac:dyDescent="0.25">
      <c r="A72" s="106"/>
      <c r="B72" s="93" t="s">
        <v>110</v>
      </c>
      <c r="C72" s="96">
        <f>C29+$H$63</f>
        <v>554653.78144830395</v>
      </c>
      <c r="D72" s="96">
        <f>D29+$H$63</f>
        <v>578123.29501058324</v>
      </c>
      <c r="E72" s="97">
        <f>D72/C72-1</f>
        <v>4.2313807905529854E-2</v>
      </c>
      <c r="F72" s="96">
        <f>D72-C72</f>
        <v>23469.513562279288</v>
      </c>
      <c r="G72" s="107"/>
    </row>
    <row r="73" spans="1:9" x14ac:dyDescent="0.25">
      <c r="A73" s="106"/>
      <c r="B73" s="93" t="s">
        <v>111</v>
      </c>
      <c r="C73" s="96">
        <f>C30-H63</f>
        <v>8558.7049894166994</v>
      </c>
      <c r="D73" s="96">
        <f>D75-D72-D74</f>
        <v>-3171.2950105832424</v>
      </c>
      <c r="E73" s="97">
        <f>D73/C73-1</f>
        <v>-1.3705344458659015</v>
      </c>
      <c r="F73" s="96">
        <f>D73-C73</f>
        <v>-11729.999999999942</v>
      </c>
      <c r="G73" s="107"/>
    </row>
    <row r="74" spans="1:9" x14ac:dyDescent="0.25">
      <c r="A74" s="106"/>
      <c r="B74" s="93" t="s">
        <v>117</v>
      </c>
      <c r="C74" s="96">
        <f>C31</f>
        <v>-3290</v>
      </c>
      <c r="D74" s="96">
        <f>D31</f>
        <v>-3290</v>
      </c>
      <c r="E74" s="98">
        <f t="shared" ref="E74:E75" si="10">D74/C74-1</f>
        <v>0</v>
      </c>
      <c r="F74" s="96">
        <f t="shared" ref="F74:F75" si="11">D74-C74</f>
        <v>0</v>
      </c>
      <c r="G74" s="107"/>
    </row>
    <row r="75" spans="1:9" ht="15.75" thickBot="1" x14ac:dyDescent="0.3">
      <c r="A75" s="106"/>
      <c r="B75" s="93" t="s">
        <v>112</v>
      </c>
      <c r="C75" s="99">
        <f>C32</f>
        <v>559922.48643772071</v>
      </c>
      <c r="D75" s="99">
        <f>D32</f>
        <v>571662</v>
      </c>
      <c r="E75" s="100">
        <f t="shared" si="10"/>
        <v>2.0966319172082581E-2</v>
      </c>
      <c r="F75" s="99">
        <f t="shared" si="11"/>
        <v>11739.513562279288</v>
      </c>
      <c r="G75" s="107"/>
    </row>
    <row r="76" spans="1:9" ht="15.75" thickTop="1" x14ac:dyDescent="0.25">
      <c r="A76" s="106"/>
      <c r="B76" s="93"/>
      <c r="C76" s="96"/>
      <c r="D76" s="96"/>
      <c r="E76" s="97"/>
      <c r="F76" s="96"/>
      <c r="G76" s="107"/>
    </row>
    <row r="77" spans="1:9" x14ac:dyDescent="0.25">
      <c r="A77" s="106"/>
      <c r="B77" s="93" t="s">
        <v>118</v>
      </c>
      <c r="C77" s="101"/>
      <c r="D77" s="101"/>
      <c r="E77" s="101"/>
      <c r="F77" s="101"/>
      <c r="G77" s="107"/>
    </row>
    <row r="78" spans="1:9" x14ac:dyDescent="0.25">
      <c r="A78" s="108"/>
      <c r="B78" s="109"/>
      <c r="C78" s="110"/>
      <c r="D78" s="110"/>
      <c r="E78" s="110"/>
      <c r="F78" s="110"/>
      <c r="G78" s="111"/>
    </row>
    <row r="81" spans="1:8" x14ac:dyDescent="0.25">
      <c r="A81" s="58"/>
      <c r="B81" s="211"/>
      <c r="C81" s="59"/>
      <c r="D81" s="59"/>
      <c r="E81" s="59"/>
      <c r="F81" s="59"/>
      <c r="G81" s="59"/>
      <c r="H81" s="60"/>
    </row>
    <row r="82" spans="1:8" ht="60" x14ac:dyDescent="0.25">
      <c r="A82" s="61"/>
      <c r="B82" s="212" t="s">
        <v>214</v>
      </c>
      <c r="C82" s="213" t="s">
        <v>207</v>
      </c>
      <c r="D82" s="214" t="s">
        <v>203</v>
      </c>
      <c r="E82" s="63"/>
      <c r="F82" s="63"/>
      <c r="G82" s="63"/>
      <c r="H82" s="64"/>
    </row>
    <row r="83" spans="1:8" ht="30" x14ac:dyDescent="0.25">
      <c r="A83" s="61"/>
      <c r="B83" s="215" t="s">
        <v>195</v>
      </c>
      <c r="C83" s="216">
        <f>H63/1000</f>
        <v>10.7032950105833</v>
      </c>
      <c r="D83" s="217" t="s">
        <v>204</v>
      </c>
      <c r="E83" s="63"/>
      <c r="F83" s="63"/>
      <c r="G83" s="63"/>
      <c r="H83" s="64"/>
    </row>
    <row r="84" spans="1:8" x14ac:dyDescent="0.25">
      <c r="A84" s="61"/>
      <c r="B84" s="62" t="s">
        <v>202</v>
      </c>
      <c r="C84" s="216">
        <f>F29/1000</f>
        <v>23.469513562279289</v>
      </c>
      <c r="D84" s="217" t="s">
        <v>205</v>
      </c>
      <c r="E84" s="63"/>
      <c r="F84" s="63"/>
      <c r="G84" s="63"/>
      <c r="H84" s="64"/>
    </row>
    <row r="85" spans="1:8" x14ac:dyDescent="0.25">
      <c r="A85" s="61"/>
      <c r="B85" s="75" t="s">
        <v>212</v>
      </c>
      <c r="C85" s="216">
        <f>D30/1000</f>
        <v>7.5279999999999996</v>
      </c>
      <c r="D85" s="217" t="s">
        <v>213</v>
      </c>
      <c r="E85" s="63"/>
      <c r="F85" s="63"/>
      <c r="G85" s="63"/>
      <c r="H85" s="64"/>
    </row>
    <row r="86" spans="1:8" ht="15.75" thickBot="1" x14ac:dyDescent="0.3">
      <c r="A86" s="61"/>
      <c r="B86" s="218" t="s">
        <v>197</v>
      </c>
      <c r="C86" s="219">
        <f>SUM(C83:C85)</f>
        <v>41.700808572862591</v>
      </c>
      <c r="D86" s="217"/>
      <c r="E86" s="63"/>
      <c r="F86" s="63"/>
      <c r="G86" s="63"/>
      <c r="H86" s="64"/>
    </row>
    <row r="87" spans="1:8" x14ac:dyDescent="0.25">
      <c r="A87" s="61"/>
      <c r="B87" s="62"/>
      <c r="C87" s="216"/>
      <c r="D87" s="217"/>
      <c r="E87" s="63"/>
      <c r="F87" s="63"/>
      <c r="G87" s="63"/>
      <c r="H87" s="64"/>
    </row>
    <row r="88" spans="1:8" x14ac:dyDescent="0.25">
      <c r="A88" s="61"/>
      <c r="B88" s="66" t="s">
        <v>196</v>
      </c>
      <c r="C88" s="216"/>
      <c r="D88" s="217"/>
      <c r="E88" s="63"/>
      <c r="F88" s="63"/>
      <c r="G88" s="63"/>
      <c r="H88" s="64"/>
    </row>
    <row r="89" spans="1:8" x14ac:dyDescent="0.25">
      <c r="A89" s="61"/>
      <c r="B89" s="62" t="s">
        <v>209</v>
      </c>
      <c r="C89" s="216">
        <f>C30/1000</f>
        <v>19.262</v>
      </c>
      <c r="D89" s="217" t="s">
        <v>206</v>
      </c>
      <c r="E89" s="63"/>
      <c r="F89" s="63"/>
      <c r="G89" s="63"/>
      <c r="H89" s="64"/>
    </row>
    <row r="90" spans="1:8" x14ac:dyDescent="0.25">
      <c r="A90" s="61"/>
      <c r="B90" s="220" t="s">
        <v>198</v>
      </c>
      <c r="C90" s="216">
        <f>F36/1000</f>
        <v>9.7309999999999999</v>
      </c>
      <c r="D90" s="217" t="s">
        <v>208</v>
      </c>
      <c r="E90" s="63"/>
      <c r="F90" s="63"/>
      <c r="G90" s="63"/>
      <c r="H90" s="64"/>
    </row>
    <row r="91" spans="1:8" x14ac:dyDescent="0.25">
      <c r="A91" s="61"/>
      <c r="B91" s="62" t="s">
        <v>199</v>
      </c>
      <c r="C91" s="216">
        <f>F37/1000</f>
        <v>2.0085135622792878</v>
      </c>
      <c r="D91" s="217" t="s">
        <v>210</v>
      </c>
      <c r="E91" s="63"/>
      <c r="F91" s="63"/>
      <c r="G91" s="63"/>
      <c r="H91" s="64"/>
    </row>
    <row r="92" spans="1:8" ht="15.75" thickBot="1" x14ac:dyDescent="0.3">
      <c r="A92" s="61"/>
      <c r="B92" s="218" t="s">
        <v>200</v>
      </c>
      <c r="C92" s="219">
        <f>SUM(C89:C91)</f>
        <v>31.001513562279289</v>
      </c>
      <c r="D92" s="63"/>
      <c r="E92" s="63"/>
      <c r="F92" s="63"/>
      <c r="G92" s="63"/>
      <c r="H92" s="64"/>
    </row>
    <row r="93" spans="1:8" x14ac:dyDescent="0.25">
      <c r="A93" s="61"/>
      <c r="B93" s="62"/>
      <c r="C93" s="216"/>
      <c r="D93" s="63"/>
      <c r="E93" s="63"/>
      <c r="F93" s="63"/>
      <c r="G93" s="63"/>
      <c r="H93" s="64"/>
    </row>
    <row r="94" spans="1:8" x14ac:dyDescent="0.25">
      <c r="A94" s="61"/>
      <c r="B94" s="221" t="s">
        <v>201</v>
      </c>
      <c r="C94" s="222">
        <f>C86-C92</f>
        <v>10.699295010583302</v>
      </c>
      <c r="D94" s="63"/>
      <c r="E94" s="63"/>
      <c r="F94" s="63"/>
      <c r="G94" s="63"/>
      <c r="H94" s="64"/>
    </row>
    <row r="95" spans="1:8" x14ac:dyDescent="0.25">
      <c r="A95" s="74"/>
      <c r="B95" s="75"/>
      <c r="C95" s="76"/>
      <c r="D95" s="76"/>
      <c r="E95" s="76"/>
      <c r="F95" s="76"/>
      <c r="G95" s="76"/>
      <c r="H95" s="78"/>
    </row>
  </sheetData>
  <mergeCells count="23">
    <mergeCell ref="B57:H57"/>
    <mergeCell ref="B41:G41"/>
    <mergeCell ref="C69:F69"/>
    <mergeCell ref="C70:C71"/>
    <mergeCell ref="D70:D71"/>
    <mergeCell ref="E70:F70"/>
    <mergeCell ref="E27:F27"/>
    <mergeCell ref="C27:C28"/>
    <mergeCell ref="D27:D28"/>
    <mergeCell ref="C26:F26"/>
    <mergeCell ref="B12:F12"/>
    <mergeCell ref="B17:F17"/>
    <mergeCell ref="B18:F18"/>
    <mergeCell ref="B20:F20"/>
    <mergeCell ref="B21:F21"/>
    <mergeCell ref="B14:F14"/>
    <mergeCell ref="A3:F3"/>
    <mergeCell ref="A5:F5"/>
    <mergeCell ref="B13:F13"/>
    <mergeCell ref="B19:F19"/>
    <mergeCell ref="A6:F6"/>
    <mergeCell ref="B16:F16"/>
    <mergeCell ref="B11:F11"/>
  </mergeCells>
  <conditionalFormatting sqref="D73">
    <cfRule type="cellIs" dxfId="0" priority="1" operator="lessThan">
      <formula>0</formula>
    </cfRule>
  </conditionalFormatting>
  <hyperlinks>
    <hyperlink ref="G13" location="'Historical growth'!Q2" display="See here."/>
  </hyperlink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W96"/>
  <sheetViews>
    <sheetView topLeftCell="A85" zoomScaleNormal="100" workbookViewId="0">
      <selection activeCell="H9" sqref="H9"/>
    </sheetView>
  </sheetViews>
  <sheetFormatPr defaultRowHeight="14.25" x14ac:dyDescent="0.2"/>
  <cols>
    <col min="1" max="1" width="9.140625" style="7"/>
    <col min="2" max="2" width="11.85546875" style="7" customWidth="1"/>
    <col min="3" max="3" width="9.140625" style="7"/>
    <col min="4" max="4" width="10.140625" style="7" customWidth="1"/>
    <col min="5" max="5" width="9.140625" style="7"/>
    <col min="6" max="6" width="14.5703125" style="7" customWidth="1"/>
    <col min="7" max="10" width="9.140625" style="7"/>
    <col min="11" max="11" width="11.7109375" style="7" bestFit="1" customWidth="1"/>
    <col min="12" max="12" width="9.140625" style="7"/>
    <col min="13" max="13" width="11.5703125" style="7" customWidth="1"/>
    <col min="14" max="14" width="9.140625" style="7"/>
    <col min="15" max="15" width="15" style="7" customWidth="1"/>
    <col min="16" max="16384" width="9.140625" style="7"/>
  </cols>
  <sheetData>
    <row r="1" spans="1:23" ht="15" x14ac:dyDescent="0.25">
      <c r="A1" s="32" t="s">
        <v>136</v>
      </c>
      <c r="B1" s="32"/>
      <c r="J1" s="7" t="s">
        <v>139</v>
      </c>
      <c r="W1" s="7" t="s">
        <v>138</v>
      </c>
    </row>
    <row r="2" spans="1:23" ht="15" x14ac:dyDescent="0.25">
      <c r="B2" s="32"/>
      <c r="J2" s="169"/>
      <c r="K2" s="234" t="s">
        <v>140</v>
      </c>
      <c r="L2" s="234"/>
      <c r="M2" s="234"/>
      <c r="N2" s="234"/>
      <c r="O2" s="235"/>
    </row>
    <row r="3" spans="1:23" ht="45" x14ac:dyDescent="0.25">
      <c r="A3" s="7" t="s">
        <v>150</v>
      </c>
      <c r="J3" s="178" t="s">
        <v>137</v>
      </c>
      <c r="K3" s="179" t="s">
        <v>143</v>
      </c>
      <c r="L3" s="180" t="s">
        <v>50</v>
      </c>
      <c r="M3" s="180" t="s">
        <v>51</v>
      </c>
      <c r="N3" s="180" t="s">
        <v>74</v>
      </c>
      <c r="O3" s="181" t="s">
        <v>142</v>
      </c>
    </row>
    <row r="4" spans="1:23" ht="15" x14ac:dyDescent="0.25">
      <c r="A4" s="32" t="s">
        <v>151</v>
      </c>
      <c r="J4" s="52">
        <v>2018</v>
      </c>
      <c r="K4" s="175">
        <v>586</v>
      </c>
      <c r="L4" s="135">
        <v>21</v>
      </c>
      <c r="M4" s="135">
        <v>309</v>
      </c>
      <c r="N4" s="135"/>
      <c r="O4" s="174">
        <v>495</v>
      </c>
    </row>
    <row r="5" spans="1:23" ht="15" x14ac:dyDescent="0.25">
      <c r="A5" s="32" t="s">
        <v>152</v>
      </c>
      <c r="J5" s="52">
        <v>2019</v>
      </c>
      <c r="K5" s="176">
        <v>2201</v>
      </c>
      <c r="L5" s="135">
        <v>846</v>
      </c>
      <c r="M5" s="135">
        <v>887</v>
      </c>
      <c r="N5" s="135">
        <v>1155</v>
      </c>
      <c r="O5" s="174">
        <v>3524</v>
      </c>
    </row>
    <row r="6" spans="1:23" ht="15" x14ac:dyDescent="0.25">
      <c r="A6" s="32" t="s">
        <v>154</v>
      </c>
      <c r="J6" s="52">
        <v>2020</v>
      </c>
      <c r="K6" s="176">
        <v>2230</v>
      </c>
      <c r="L6" s="135">
        <v>1535</v>
      </c>
      <c r="M6" s="135">
        <v>1275</v>
      </c>
      <c r="N6" s="135">
        <v>1156</v>
      </c>
      <c r="O6" s="174">
        <v>4790</v>
      </c>
    </row>
    <row r="7" spans="1:23" ht="15" x14ac:dyDescent="0.25">
      <c r="A7" s="32" t="s">
        <v>153</v>
      </c>
      <c r="J7" s="52">
        <v>2021</v>
      </c>
      <c r="K7" s="176">
        <v>2341</v>
      </c>
      <c r="L7" s="135">
        <v>2361</v>
      </c>
      <c r="M7" s="135">
        <v>1585</v>
      </c>
      <c r="N7" s="135">
        <v>1204</v>
      </c>
      <c r="O7" s="174">
        <v>6058</v>
      </c>
    </row>
    <row r="8" spans="1:23" ht="15" x14ac:dyDescent="0.25">
      <c r="A8" s="32" t="s">
        <v>155</v>
      </c>
      <c r="J8" s="170">
        <v>2022</v>
      </c>
      <c r="K8" s="183">
        <v>2373</v>
      </c>
      <c r="L8" s="173">
        <v>3157</v>
      </c>
      <c r="M8" s="173">
        <v>2158</v>
      </c>
      <c r="N8" s="173">
        <v>1255</v>
      </c>
      <c r="O8" s="184">
        <v>7488</v>
      </c>
    </row>
    <row r="9" spans="1:23" ht="15" x14ac:dyDescent="0.25">
      <c r="J9" s="182" t="s">
        <v>135</v>
      </c>
      <c r="K9" s="177">
        <f>SUM(K4:K8)</f>
        <v>9731</v>
      </c>
      <c r="L9" s="171">
        <f>SUM(L4:L8)</f>
        <v>7920</v>
      </c>
      <c r="M9" s="171">
        <f t="shared" ref="M9:O9" si="0">SUM(M4:M8)</f>
        <v>6214</v>
      </c>
      <c r="N9" s="171">
        <f t="shared" si="0"/>
        <v>4770</v>
      </c>
      <c r="O9" s="172">
        <f t="shared" si="0"/>
        <v>22355</v>
      </c>
      <c r="P9" s="185" t="s">
        <v>141</v>
      </c>
    </row>
    <row r="10" spans="1:23" x14ac:dyDescent="0.2">
      <c r="A10" s="7" t="s">
        <v>158</v>
      </c>
    </row>
    <row r="11" spans="1:23" x14ac:dyDescent="0.2">
      <c r="A11" s="7" t="s">
        <v>156</v>
      </c>
    </row>
    <row r="12" spans="1:23" ht="63.75" customHeight="1" x14ac:dyDescent="0.2">
      <c r="A12" s="233" t="s">
        <v>144</v>
      </c>
      <c r="B12" s="233"/>
      <c r="C12" s="233"/>
      <c r="D12" s="233"/>
      <c r="E12" s="233"/>
      <c r="F12" s="233"/>
    </row>
    <row r="13" spans="1:23" x14ac:dyDescent="0.2">
      <c r="A13" s="7" t="s">
        <v>157</v>
      </c>
    </row>
    <row r="16" spans="1:23" x14ac:dyDescent="0.2">
      <c r="A16" s="7" t="s">
        <v>160</v>
      </c>
    </row>
    <row r="17" spans="1:6" ht="15" x14ac:dyDescent="0.25">
      <c r="A17" s="32" t="s">
        <v>161</v>
      </c>
    </row>
    <row r="25" spans="1:6" x14ac:dyDescent="0.2">
      <c r="A25" s="7" t="s">
        <v>159</v>
      </c>
    </row>
    <row r="26" spans="1:6" ht="46.5" customHeight="1" x14ac:dyDescent="0.2">
      <c r="A26" s="236" t="s">
        <v>145</v>
      </c>
      <c r="B26" s="237"/>
      <c r="C26" s="237"/>
      <c r="D26" s="237"/>
      <c r="E26" s="237"/>
      <c r="F26" s="238"/>
    </row>
    <row r="29" spans="1:6" x14ac:dyDescent="0.2">
      <c r="A29" s="7" t="s">
        <v>146</v>
      </c>
    </row>
    <row r="61" spans="1:1" x14ac:dyDescent="0.2">
      <c r="A61" s="7" t="s">
        <v>147</v>
      </c>
    </row>
    <row r="95" spans="14:14" ht="15" x14ac:dyDescent="0.25">
      <c r="N95" s="32" t="s">
        <v>149</v>
      </c>
    </row>
    <row r="96" spans="14:14" x14ac:dyDescent="0.2">
      <c r="N96" s="7" t="s">
        <v>148</v>
      </c>
    </row>
  </sheetData>
  <mergeCells count="3">
    <mergeCell ref="A12:F12"/>
    <mergeCell ref="K2:O2"/>
    <mergeCell ref="A26:F26"/>
  </mergeCells>
  <hyperlinks>
    <hyperlink ref="A1" r:id="rId1"/>
    <hyperlink ref="P9" location="'LFP &amp; Total Crown'!S21" display="Note that the page 16 nos imply a $23.5 billion increase"/>
    <hyperlink ref="N95" r:id="rId2"/>
    <hyperlink ref="A17" r:id="rId3"/>
    <hyperlink ref="A4" location="'Labour Fiscal Plan'!A29" display="1. Jacinta Adern's introduction p 4"/>
    <hyperlink ref="A5" location="'Labour Fiscal Plan'!A61" display="2. Grant Robertson's overview, p 6."/>
    <hyperlink ref="A6" location="'Labour Fiscal Plan'!J1" display="3. Line item details of new investments p 14."/>
    <hyperlink ref="A7" location="'Labour Fiscal Plan'!W1" display="4. Consolidated table of planned spending p 16."/>
    <hyperlink ref="A8" location="'Labour Fiscal Plan'!A19" display="5 Extract from the electronic version of Labour's plan p 14."/>
  </hyperlinks>
  <pageMargins left="0.7" right="0.7" top="0.75" bottom="0.75" header="0.3" footer="0.3"/>
  <pageSetup paperSize="9"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52"/>
  <sheetViews>
    <sheetView topLeftCell="A37" workbookViewId="0">
      <selection activeCell="I54" sqref="I54"/>
    </sheetView>
  </sheetViews>
  <sheetFormatPr defaultRowHeight="15" x14ac:dyDescent="0.25"/>
  <cols>
    <col min="1" max="1" width="38.5703125" customWidth="1"/>
    <col min="11" max="11" width="11.7109375" customWidth="1"/>
    <col min="13" max="13" width="37" customWidth="1"/>
    <col min="19" max="19" width="11.7109375" customWidth="1"/>
  </cols>
  <sheetData>
    <row r="1" spans="1:19" x14ac:dyDescent="0.25">
      <c r="A1" t="s">
        <v>131</v>
      </c>
    </row>
    <row r="3" spans="1:19" ht="44.25" x14ac:dyDescent="0.3">
      <c r="A3" s="7" t="s">
        <v>133</v>
      </c>
      <c r="B3" s="7"/>
      <c r="C3" s="7"/>
      <c r="D3" s="7"/>
      <c r="E3" s="7"/>
      <c r="F3" s="7"/>
      <c r="G3" s="7"/>
      <c r="H3" s="7"/>
      <c r="I3" s="7"/>
      <c r="J3" s="54" t="s">
        <v>132</v>
      </c>
      <c r="K3" s="7"/>
      <c r="M3" s="139" t="s">
        <v>134</v>
      </c>
    </row>
    <row r="4" spans="1:19" x14ac:dyDescent="0.25">
      <c r="A4" s="33" t="s">
        <v>39</v>
      </c>
      <c r="B4" s="7"/>
      <c r="C4" s="43" t="s">
        <v>40</v>
      </c>
      <c r="D4" s="43" t="s">
        <v>41</v>
      </c>
      <c r="E4" s="43" t="s">
        <v>42</v>
      </c>
      <c r="F4" s="43" t="s">
        <v>43</v>
      </c>
      <c r="G4" s="43" t="s">
        <v>44</v>
      </c>
      <c r="H4" s="43" t="s">
        <v>45</v>
      </c>
      <c r="I4" s="43" t="s">
        <v>46</v>
      </c>
      <c r="J4" s="13">
        <v>2022</v>
      </c>
      <c r="K4" s="141" t="s">
        <v>80</v>
      </c>
      <c r="N4" s="43" t="s">
        <v>43</v>
      </c>
      <c r="O4" s="43" t="s">
        <v>44</v>
      </c>
      <c r="P4" s="43" t="s">
        <v>45</v>
      </c>
      <c r="Q4" s="43" t="s">
        <v>46</v>
      </c>
      <c r="R4" s="43">
        <v>2022</v>
      </c>
      <c r="S4" s="141" t="s">
        <v>80</v>
      </c>
    </row>
    <row r="5" spans="1:19" x14ac:dyDescent="0.25">
      <c r="A5" s="7"/>
      <c r="B5" s="7"/>
      <c r="C5" s="34" t="s">
        <v>47</v>
      </c>
      <c r="D5" s="34" t="s">
        <v>47</v>
      </c>
      <c r="E5" s="34" t="s">
        <v>48</v>
      </c>
      <c r="F5" s="34" t="s">
        <v>48</v>
      </c>
      <c r="G5" s="34" t="s">
        <v>48</v>
      </c>
      <c r="H5" s="34" t="s">
        <v>48</v>
      </c>
      <c r="I5" s="34" t="s">
        <v>48</v>
      </c>
      <c r="J5" s="34" t="s">
        <v>48</v>
      </c>
      <c r="K5" s="27"/>
      <c r="S5" s="144"/>
    </row>
    <row r="6" spans="1:19" x14ac:dyDescent="0.25">
      <c r="A6" s="7" t="s">
        <v>49</v>
      </c>
      <c r="B6" s="7"/>
      <c r="C6" s="35">
        <v>28901</v>
      </c>
      <c r="D6" s="35">
        <v>30120</v>
      </c>
      <c r="E6" s="35">
        <v>30593</v>
      </c>
      <c r="F6" s="35">
        <v>31796</v>
      </c>
      <c r="G6" s="35">
        <v>33068</v>
      </c>
      <c r="H6" s="35">
        <v>34314</v>
      </c>
      <c r="I6" s="35">
        <v>35554</v>
      </c>
      <c r="J6" s="35">
        <v>37049.794583250972</v>
      </c>
      <c r="K6" s="27"/>
      <c r="M6" s="7" t="s">
        <v>49</v>
      </c>
      <c r="N6" s="140">
        <f t="shared" ref="N6:N20" si="0">F30-F6</f>
        <v>0</v>
      </c>
      <c r="O6" s="140">
        <f t="shared" ref="O6:O20" si="1">G30-G6</f>
        <v>1236</v>
      </c>
      <c r="P6" s="140">
        <f t="shared" ref="P6:P20" si="2">H30-H6</f>
        <v>1262</v>
      </c>
      <c r="Q6" s="140">
        <f t="shared" ref="Q6:Q20" si="3">I30-I6</f>
        <v>1310</v>
      </c>
      <c r="R6" s="140">
        <f t="shared" ref="R6:R20" si="4">J30-J6</f>
        <v>1365.2054167490278</v>
      </c>
      <c r="S6" s="145">
        <f t="shared" ref="S6:S24" si="5">SUM(N6:R6)</f>
        <v>5173.2054167490278</v>
      </c>
    </row>
    <row r="7" spans="1:19" x14ac:dyDescent="0.25">
      <c r="A7" s="7" t="s">
        <v>50</v>
      </c>
      <c r="B7" s="7"/>
      <c r="C7" s="36">
        <v>15160</v>
      </c>
      <c r="D7" s="36">
        <v>15567</v>
      </c>
      <c r="E7" s="36">
        <v>15722</v>
      </c>
      <c r="F7" s="36">
        <v>16432</v>
      </c>
      <c r="G7" s="36">
        <v>16449</v>
      </c>
      <c r="H7" s="36">
        <v>16481</v>
      </c>
      <c r="I7" s="36">
        <v>16396</v>
      </c>
      <c r="J7" s="35">
        <v>16418.744342087928</v>
      </c>
      <c r="K7" s="27"/>
      <c r="M7" s="7" t="s">
        <v>50</v>
      </c>
      <c r="N7" s="140">
        <f t="shared" si="0"/>
        <v>21</v>
      </c>
      <c r="O7" s="140">
        <f t="shared" si="1"/>
        <v>846</v>
      </c>
      <c r="P7" s="140">
        <f t="shared" si="2"/>
        <v>1535</v>
      </c>
      <c r="Q7" s="140">
        <f t="shared" si="3"/>
        <v>2361</v>
      </c>
      <c r="R7" s="140">
        <f t="shared" si="4"/>
        <v>3156.2556579120719</v>
      </c>
      <c r="S7" s="145">
        <f t="shared" si="5"/>
        <v>7919.2556579120719</v>
      </c>
    </row>
    <row r="8" spans="1:19" x14ac:dyDescent="0.25">
      <c r="A8" s="7" t="s">
        <v>51</v>
      </c>
      <c r="B8" s="7"/>
      <c r="C8" s="36">
        <v>13809</v>
      </c>
      <c r="D8" s="36">
        <v>14235</v>
      </c>
      <c r="E8" s="36">
        <v>14011</v>
      </c>
      <c r="F8" s="36">
        <v>14784</v>
      </c>
      <c r="G8" s="36">
        <v>14910</v>
      </c>
      <c r="H8" s="36">
        <v>14955</v>
      </c>
      <c r="I8" s="36">
        <v>15172</v>
      </c>
      <c r="J8" s="35">
        <v>15085.701751470488</v>
      </c>
      <c r="K8" s="27"/>
      <c r="M8" s="7" t="s">
        <v>51</v>
      </c>
      <c r="N8" s="140">
        <f t="shared" si="0"/>
        <v>309</v>
      </c>
      <c r="O8" s="140">
        <f t="shared" si="1"/>
        <v>887</v>
      </c>
      <c r="P8" s="140">
        <f t="shared" si="2"/>
        <v>1275</v>
      </c>
      <c r="Q8" s="140">
        <f t="shared" si="3"/>
        <v>1585</v>
      </c>
      <c r="R8" s="140">
        <f t="shared" si="4"/>
        <v>2157.2982485295124</v>
      </c>
      <c r="S8" s="145">
        <f t="shared" si="5"/>
        <v>6213.2982485295124</v>
      </c>
    </row>
    <row r="9" spans="1:19" x14ac:dyDescent="0.25">
      <c r="A9" s="7" t="s">
        <v>52</v>
      </c>
      <c r="B9" s="7"/>
      <c r="C9" s="36">
        <v>3950</v>
      </c>
      <c r="D9" s="36">
        <v>4874</v>
      </c>
      <c r="E9" s="36">
        <v>4153</v>
      </c>
      <c r="F9" s="36">
        <v>5343</v>
      </c>
      <c r="G9" s="36">
        <v>4655</v>
      </c>
      <c r="H9" s="36">
        <v>4477</v>
      </c>
      <c r="I9" s="36">
        <v>4320</v>
      </c>
      <c r="J9" s="35">
        <v>4453.4766294043957</v>
      </c>
      <c r="K9" s="27"/>
      <c r="M9" s="7" t="s">
        <v>52</v>
      </c>
      <c r="N9" s="140">
        <f t="shared" si="0"/>
        <v>15</v>
      </c>
      <c r="O9" s="140">
        <f t="shared" si="1"/>
        <v>30</v>
      </c>
      <c r="P9" s="140">
        <f t="shared" si="2"/>
        <v>31</v>
      </c>
      <c r="Q9" s="140">
        <f t="shared" si="3"/>
        <v>32</v>
      </c>
      <c r="R9" s="140">
        <f t="shared" si="4"/>
        <v>32.52337059560432</v>
      </c>
      <c r="S9" s="145">
        <f t="shared" si="5"/>
        <v>140.52337059560432</v>
      </c>
    </row>
    <row r="10" spans="1:19" x14ac:dyDescent="0.25">
      <c r="A10" s="7" t="s">
        <v>53</v>
      </c>
      <c r="B10" s="7"/>
      <c r="C10" s="36">
        <v>3894</v>
      </c>
      <c r="D10" s="36">
        <v>4062</v>
      </c>
      <c r="E10" s="36">
        <v>4253</v>
      </c>
      <c r="F10" s="36">
        <v>4435</v>
      </c>
      <c r="G10" s="36">
        <v>4537</v>
      </c>
      <c r="H10" s="36">
        <v>4590</v>
      </c>
      <c r="I10" s="36">
        <v>4631</v>
      </c>
      <c r="J10" s="35">
        <v>4642.4912423523028</v>
      </c>
      <c r="K10" s="27"/>
      <c r="M10" s="7" t="s">
        <v>53</v>
      </c>
      <c r="N10" s="140">
        <f t="shared" si="0"/>
        <v>0</v>
      </c>
      <c r="O10" s="140">
        <f t="shared" si="1"/>
        <v>40</v>
      </c>
      <c r="P10" s="140">
        <f t="shared" si="2"/>
        <v>41</v>
      </c>
      <c r="Q10" s="140">
        <f t="shared" si="3"/>
        <v>42</v>
      </c>
      <c r="R10" s="140">
        <f t="shared" si="4"/>
        <v>43.508757647697166</v>
      </c>
      <c r="S10" s="145">
        <f t="shared" si="5"/>
        <v>166.50875764769717</v>
      </c>
    </row>
    <row r="11" spans="1:19" x14ac:dyDescent="0.25">
      <c r="A11" s="7" t="s">
        <v>54</v>
      </c>
      <c r="B11" s="7"/>
      <c r="C11" s="36">
        <v>9400</v>
      </c>
      <c r="D11" s="36">
        <v>9641</v>
      </c>
      <c r="E11" s="36">
        <v>9296</v>
      </c>
      <c r="F11" s="36">
        <v>9778</v>
      </c>
      <c r="G11" s="36">
        <v>10083</v>
      </c>
      <c r="H11" s="36">
        <v>10191</v>
      </c>
      <c r="I11" s="36">
        <v>11120</v>
      </c>
      <c r="J11" s="35">
        <v>11422.379790180241</v>
      </c>
      <c r="K11" s="27"/>
      <c r="M11" s="7" t="s">
        <v>54</v>
      </c>
      <c r="N11" s="140">
        <f t="shared" si="0"/>
        <v>0</v>
      </c>
      <c r="O11" s="140">
        <f t="shared" si="1"/>
        <v>0</v>
      </c>
      <c r="P11" s="140">
        <f t="shared" si="2"/>
        <v>0</v>
      </c>
      <c r="Q11" s="140">
        <f t="shared" si="3"/>
        <v>0</v>
      </c>
      <c r="R11" s="140">
        <f t="shared" si="4"/>
        <v>-0.37979018024088873</v>
      </c>
      <c r="S11" s="145">
        <f t="shared" si="5"/>
        <v>-0.37979018024088873</v>
      </c>
    </row>
    <row r="12" spans="1:19" x14ac:dyDescent="0.25">
      <c r="A12" s="7" t="s">
        <v>55</v>
      </c>
      <c r="B12" s="7"/>
      <c r="C12" s="36">
        <v>7428</v>
      </c>
      <c r="D12" s="36">
        <v>7551</v>
      </c>
      <c r="E12" s="36">
        <v>8251</v>
      </c>
      <c r="F12" s="36">
        <v>8097</v>
      </c>
      <c r="G12" s="36">
        <v>8503</v>
      </c>
      <c r="H12" s="36">
        <v>8762</v>
      </c>
      <c r="I12" s="36">
        <v>8801</v>
      </c>
      <c r="J12" s="35">
        <v>9241.0502609654341</v>
      </c>
      <c r="K12" s="27"/>
      <c r="M12" s="7" t="s">
        <v>55</v>
      </c>
      <c r="N12" s="140">
        <f t="shared" si="0"/>
        <v>-35</v>
      </c>
      <c r="O12" s="140">
        <f t="shared" si="1"/>
        <v>230</v>
      </c>
      <c r="P12" s="140">
        <f t="shared" si="2"/>
        <v>360</v>
      </c>
      <c r="Q12" s="140">
        <f t="shared" si="3"/>
        <v>413</v>
      </c>
      <c r="R12" s="140">
        <f t="shared" si="4"/>
        <v>387.94973903456594</v>
      </c>
      <c r="S12" s="145">
        <f t="shared" si="5"/>
        <v>1355.9497390345659</v>
      </c>
    </row>
    <row r="13" spans="1:19" x14ac:dyDescent="0.25">
      <c r="A13" s="7" t="s">
        <v>56</v>
      </c>
      <c r="B13" s="7"/>
      <c r="C13" s="36">
        <v>2013</v>
      </c>
      <c r="D13" s="36">
        <v>2149</v>
      </c>
      <c r="E13" s="36">
        <v>2137</v>
      </c>
      <c r="F13" s="36">
        <v>2286</v>
      </c>
      <c r="G13" s="36">
        <v>2351</v>
      </c>
      <c r="H13" s="36">
        <v>2362</v>
      </c>
      <c r="I13" s="36">
        <v>2372</v>
      </c>
      <c r="J13" s="35">
        <v>2371.629991179766</v>
      </c>
      <c r="K13" s="27"/>
      <c r="M13" s="7" t="s">
        <v>56</v>
      </c>
      <c r="N13" s="140">
        <f t="shared" si="0"/>
        <v>0</v>
      </c>
      <c r="O13" s="140">
        <f t="shared" si="1"/>
        <v>0</v>
      </c>
      <c r="P13" s="140">
        <f t="shared" si="2"/>
        <v>0</v>
      </c>
      <c r="Q13" s="140">
        <f t="shared" si="3"/>
        <v>0</v>
      </c>
      <c r="R13" s="140">
        <f t="shared" si="4"/>
        <v>0.37000882023403392</v>
      </c>
      <c r="S13" s="145">
        <f t="shared" si="5"/>
        <v>0.37000882023403392</v>
      </c>
    </row>
    <row r="14" spans="1:19" x14ac:dyDescent="0.25">
      <c r="A14" s="7" t="s">
        <v>57</v>
      </c>
      <c r="B14" s="7"/>
      <c r="C14" s="36">
        <v>2210</v>
      </c>
      <c r="D14" s="36">
        <v>2401</v>
      </c>
      <c r="E14" s="36">
        <v>2511</v>
      </c>
      <c r="F14" s="36">
        <v>2327</v>
      </c>
      <c r="G14" s="36">
        <v>2351</v>
      </c>
      <c r="H14" s="36">
        <v>2356</v>
      </c>
      <c r="I14" s="36">
        <v>2364</v>
      </c>
      <c r="J14" s="35">
        <v>2460.2108691304998</v>
      </c>
      <c r="K14" s="27"/>
      <c r="M14" s="7" t="s">
        <v>57</v>
      </c>
      <c r="N14" s="140">
        <f t="shared" si="0"/>
        <v>0</v>
      </c>
      <c r="O14" s="140">
        <f t="shared" si="1"/>
        <v>0</v>
      </c>
      <c r="P14" s="140">
        <f t="shared" si="2"/>
        <v>0</v>
      </c>
      <c r="Q14" s="140">
        <f t="shared" si="3"/>
        <v>0</v>
      </c>
      <c r="R14" s="140">
        <f t="shared" si="4"/>
        <v>-0.21086913049975919</v>
      </c>
      <c r="S14" s="145">
        <f t="shared" si="5"/>
        <v>-0.21086913049975919</v>
      </c>
    </row>
    <row r="15" spans="1:19" x14ac:dyDescent="0.25">
      <c r="A15" s="7" t="s">
        <v>58</v>
      </c>
      <c r="B15" s="7"/>
      <c r="C15" s="36">
        <v>1852</v>
      </c>
      <c r="D15" s="36">
        <v>1961</v>
      </c>
      <c r="E15" s="36">
        <v>1860</v>
      </c>
      <c r="F15" s="36">
        <v>1994</v>
      </c>
      <c r="G15" s="36">
        <v>1987</v>
      </c>
      <c r="H15" s="36">
        <v>1992</v>
      </c>
      <c r="I15" s="36">
        <v>2043</v>
      </c>
      <c r="J15" s="35">
        <v>2104.6425618111266</v>
      </c>
      <c r="K15" s="27"/>
      <c r="M15" s="7" t="s">
        <v>58</v>
      </c>
      <c r="N15" s="140">
        <f t="shared" si="0"/>
        <v>0</v>
      </c>
      <c r="O15" s="140">
        <f t="shared" si="1"/>
        <v>0</v>
      </c>
      <c r="P15" s="140">
        <f t="shared" si="2"/>
        <v>0</v>
      </c>
      <c r="Q15" s="140">
        <f t="shared" si="3"/>
        <v>0</v>
      </c>
      <c r="R15" s="140">
        <f t="shared" si="4"/>
        <v>0.3574381888734024</v>
      </c>
      <c r="S15" s="145">
        <f t="shared" si="5"/>
        <v>0.3574381888734024</v>
      </c>
    </row>
    <row r="16" spans="1:19" x14ac:dyDescent="0.25">
      <c r="A16" s="7" t="s">
        <v>59</v>
      </c>
      <c r="B16" s="7"/>
      <c r="C16" s="36">
        <v>1600</v>
      </c>
      <c r="D16" s="36">
        <v>1694</v>
      </c>
      <c r="E16" s="36">
        <v>1869</v>
      </c>
      <c r="F16" s="36">
        <v>2080</v>
      </c>
      <c r="G16" s="36">
        <v>2025</v>
      </c>
      <c r="H16" s="36">
        <v>1978</v>
      </c>
      <c r="I16" s="36">
        <v>2087</v>
      </c>
      <c r="J16" s="35">
        <v>2161.8747821049105</v>
      </c>
      <c r="K16" s="27"/>
      <c r="M16" s="7" t="s">
        <v>59</v>
      </c>
      <c r="N16" s="140">
        <f t="shared" si="0"/>
        <v>135</v>
      </c>
      <c r="O16" s="140">
        <f t="shared" si="1"/>
        <v>105</v>
      </c>
      <c r="P16" s="140">
        <f t="shared" si="2"/>
        <v>135</v>
      </c>
      <c r="Q16" s="140">
        <f t="shared" si="3"/>
        <v>165</v>
      </c>
      <c r="R16" s="140">
        <f t="shared" si="4"/>
        <v>195.12521789508946</v>
      </c>
      <c r="S16" s="145">
        <f t="shared" si="5"/>
        <v>735.12521789508946</v>
      </c>
    </row>
    <row r="17" spans="1:19" x14ac:dyDescent="0.25">
      <c r="A17" s="7" t="s">
        <v>60</v>
      </c>
      <c r="B17" s="7"/>
      <c r="C17" s="7">
        <v>580</v>
      </c>
      <c r="D17" s="7">
        <v>719</v>
      </c>
      <c r="E17" s="7">
        <v>847</v>
      </c>
      <c r="F17" s="36">
        <v>1025</v>
      </c>
      <c r="G17" s="7">
        <v>937</v>
      </c>
      <c r="H17" s="7">
        <v>994</v>
      </c>
      <c r="I17" s="7">
        <v>996</v>
      </c>
      <c r="J17" s="35">
        <v>995.95677277801303</v>
      </c>
      <c r="K17" s="27"/>
      <c r="M17" s="7" t="s">
        <v>60</v>
      </c>
      <c r="N17" s="140">
        <f t="shared" si="0"/>
        <v>0</v>
      </c>
      <c r="O17" s="140">
        <f t="shared" si="1"/>
        <v>0</v>
      </c>
      <c r="P17" s="140">
        <f t="shared" si="2"/>
        <v>0</v>
      </c>
      <c r="Q17" s="140">
        <f t="shared" si="3"/>
        <v>0</v>
      </c>
      <c r="R17" s="140">
        <f t="shared" si="4"/>
        <v>4.3227221986967379E-2</v>
      </c>
      <c r="S17" s="145">
        <f t="shared" si="5"/>
        <v>4.3227221986967379E-2</v>
      </c>
    </row>
    <row r="18" spans="1:19" x14ac:dyDescent="0.25">
      <c r="A18" s="7" t="s">
        <v>61</v>
      </c>
      <c r="B18" s="7"/>
      <c r="C18" s="7">
        <v>286</v>
      </c>
      <c r="D18" s="7">
        <v>231</v>
      </c>
      <c r="E18" s="7">
        <v>234</v>
      </c>
      <c r="F18" s="7">
        <v>167</v>
      </c>
      <c r="G18" s="7">
        <v>213</v>
      </c>
      <c r="H18" s="7">
        <v>240</v>
      </c>
      <c r="I18" s="7">
        <v>256</v>
      </c>
      <c r="J18" s="35">
        <v>247.02803738317758</v>
      </c>
      <c r="K18" s="27"/>
      <c r="M18" s="7" t="s">
        <v>61</v>
      </c>
      <c r="N18" s="140">
        <f t="shared" si="0"/>
        <v>0</v>
      </c>
      <c r="O18" s="140">
        <f t="shared" si="1"/>
        <v>0</v>
      </c>
      <c r="P18" s="140">
        <f t="shared" si="2"/>
        <v>0</v>
      </c>
      <c r="Q18" s="140">
        <f t="shared" si="3"/>
        <v>0</v>
      </c>
      <c r="R18" s="140">
        <f t="shared" si="4"/>
        <v>-2.8037383177576203E-2</v>
      </c>
      <c r="S18" s="145">
        <f t="shared" si="5"/>
        <v>-2.8037383177576203E-2</v>
      </c>
    </row>
    <row r="19" spans="1:19" x14ac:dyDescent="0.25">
      <c r="A19" s="7" t="s">
        <v>62</v>
      </c>
      <c r="B19" s="7"/>
      <c r="C19" s="7">
        <v>461</v>
      </c>
      <c r="D19" s="7">
        <v>439</v>
      </c>
      <c r="E19" s="7">
        <v>238</v>
      </c>
      <c r="F19" s="7">
        <v>403</v>
      </c>
      <c r="G19" s="7">
        <v>465</v>
      </c>
      <c r="H19" s="7">
        <v>460</v>
      </c>
      <c r="I19" s="7">
        <v>460</v>
      </c>
      <c r="J19" s="35">
        <v>0</v>
      </c>
      <c r="K19" s="27"/>
      <c r="M19" s="7" t="s">
        <v>62</v>
      </c>
      <c r="N19" s="140">
        <f t="shared" si="0"/>
        <v>50</v>
      </c>
      <c r="O19" s="140">
        <f t="shared" si="1"/>
        <v>150</v>
      </c>
      <c r="P19" s="140">
        <f t="shared" si="2"/>
        <v>150</v>
      </c>
      <c r="Q19" s="140">
        <f t="shared" si="3"/>
        <v>150</v>
      </c>
      <c r="R19" s="140">
        <f t="shared" si="4"/>
        <v>150</v>
      </c>
      <c r="S19" s="145">
        <f t="shared" si="5"/>
        <v>650</v>
      </c>
    </row>
    <row r="20" spans="1:19" x14ac:dyDescent="0.25">
      <c r="A20" s="7" t="s">
        <v>63</v>
      </c>
      <c r="B20" s="7"/>
      <c r="C20" s="36">
        <v>4336</v>
      </c>
      <c r="D20" s="36">
        <v>4566</v>
      </c>
      <c r="E20" s="36">
        <v>4188</v>
      </c>
      <c r="F20" s="36">
        <v>4215</v>
      </c>
      <c r="G20" s="36">
        <v>4128</v>
      </c>
      <c r="H20" s="36">
        <v>4178</v>
      </c>
      <c r="I20" s="36">
        <v>4158</v>
      </c>
      <c r="J20" s="35">
        <v>4411.5048236214825</v>
      </c>
      <c r="K20" s="27"/>
      <c r="M20" s="7" t="s">
        <v>63</v>
      </c>
      <c r="N20" s="140">
        <f t="shared" si="0"/>
        <v>33</v>
      </c>
      <c r="O20" s="140">
        <f t="shared" si="1"/>
        <v>146</v>
      </c>
      <c r="P20" s="140">
        <f t="shared" si="2"/>
        <v>181</v>
      </c>
      <c r="Q20" s="140">
        <f t="shared" si="3"/>
        <v>285</v>
      </c>
      <c r="R20" s="140">
        <f t="shared" si="4"/>
        <v>470.4951763785175</v>
      </c>
      <c r="S20" s="145">
        <f t="shared" si="5"/>
        <v>1115.4951763785175</v>
      </c>
    </row>
    <row r="21" spans="1:19" x14ac:dyDescent="0.25">
      <c r="A21" s="6" t="s">
        <v>73</v>
      </c>
      <c r="B21" s="6"/>
      <c r="C21" s="41">
        <f t="shared" ref="C21:I21" si="6">SUM(C6:C20)</f>
        <v>95880</v>
      </c>
      <c r="D21" s="41">
        <f t="shared" si="6"/>
        <v>100210</v>
      </c>
      <c r="E21" s="41">
        <f t="shared" si="6"/>
        <v>100163</v>
      </c>
      <c r="F21" s="41">
        <f t="shared" si="6"/>
        <v>105162</v>
      </c>
      <c r="G21" s="41">
        <f t="shared" si="6"/>
        <v>106662</v>
      </c>
      <c r="H21" s="41">
        <f t="shared" si="6"/>
        <v>108330</v>
      </c>
      <c r="I21" s="41">
        <f t="shared" si="6"/>
        <v>110730</v>
      </c>
      <c r="J21" s="41">
        <v>113066.48643772073</v>
      </c>
      <c r="K21" s="142">
        <f t="shared" ref="K21" si="7">SUM(F21:J21)</f>
        <v>543950.48643772071</v>
      </c>
      <c r="M21" s="6" t="s">
        <v>73</v>
      </c>
      <c r="N21" s="41">
        <f t="shared" ref="N21:N24" si="8">F45-F21</f>
        <v>528</v>
      </c>
      <c r="O21" s="41">
        <f t="shared" ref="O21:O24" si="9">G45-G21</f>
        <v>3670</v>
      </c>
      <c r="P21" s="41">
        <f t="shared" ref="P21:P24" si="10">H45-H21</f>
        <v>4970</v>
      </c>
      <c r="Q21" s="41">
        <f t="shared" ref="Q21:Q24" si="11">I45-I21</f>
        <v>6343</v>
      </c>
      <c r="R21" s="41">
        <f t="shared" ref="R21:R23" si="12">J45-J21</f>
        <v>7958.5135622792732</v>
      </c>
      <c r="S21" s="142">
        <f t="shared" si="5"/>
        <v>23469.513562279273</v>
      </c>
    </row>
    <row r="22" spans="1:19" x14ac:dyDescent="0.25">
      <c r="A22" s="7" t="s">
        <v>21</v>
      </c>
      <c r="B22" s="7"/>
      <c r="C22" s="7" t="s">
        <v>64</v>
      </c>
      <c r="D22" s="7">
        <v>534</v>
      </c>
      <c r="E22" s="7" t="s">
        <v>64</v>
      </c>
      <c r="F22" s="7">
        <v>492</v>
      </c>
      <c r="G22" s="36">
        <v>2034</v>
      </c>
      <c r="H22" s="36">
        <v>3746</v>
      </c>
      <c r="I22" s="36">
        <v>5495</v>
      </c>
      <c r="J22" s="36">
        <v>7495</v>
      </c>
      <c r="K22" s="143">
        <f>SUM(F22:J22)</f>
        <v>19262</v>
      </c>
      <c r="M22" s="7" t="s">
        <v>21</v>
      </c>
      <c r="N22" s="140">
        <f t="shared" si="8"/>
        <v>421</v>
      </c>
      <c r="O22" s="140">
        <f t="shared" si="9"/>
        <v>-1199</v>
      </c>
      <c r="P22" s="140">
        <f t="shared" si="10"/>
        <v>-2867</v>
      </c>
      <c r="Q22" s="140">
        <f t="shared" si="11"/>
        <v>-4023</v>
      </c>
      <c r="R22" s="140">
        <f t="shared" si="12"/>
        <v>-4066</v>
      </c>
      <c r="S22" s="145">
        <f t="shared" si="5"/>
        <v>-11734</v>
      </c>
    </row>
    <row r="23" spans="1:19" x14ac:dyDescent="0.25">
      <c r="A23" s="7" t="s">
        <v>22</v>
      </c>
      <c r="B23" s="7"/>
      <c r="C23" s="7" t="s">
        <v>65</v>
      </c>
      <c r="D23" s="7" t="s">
        <v>65</v>
      </c>
      <c r="E23" s="7" t="s">
        <v>65</v>
      </c>
      <c r="F23" s="7">
        <v>-1175</v>
      </c>
      <c r="G23" s="7">
        <v>-570</v>
      </c>
      <c r="H23" s="7">
        <v>-525</v>
      </c>
      <c r="I23" s="7">
        <v>-500</v>
      </c>
      <c r="J23" s="12">
        <v>-520</v>
      </c>
      <c r="K23" s="143">
        <f>SUM(F23:J23)</f>
        <v>-3290</v>
      </c>
      <c r="M23" s="7" t="s">
        <v>22</v>
      </c>
      <c r="N23" s="140">
        <f t="shared" si="8"/>
        <v>0</v>
      </c>
      <c r="O23" s="140">
        <f t="shared" si="9"/>
        <v>0</v>
      </c>
      <c r="P23" s="140">
        <f t="shared" si="10"/>
        <v>0</v>
      </c>
      <c r="Q23" s="140">
        <f t="shared" si="11"/>
        <v>0</v>
      </c>
      <c r="R23" s="140">
        <f t="shared" si="12"/>
        <v>0</v>
      </c>
      <c r="S23" s="145">
        <f t="shared" si="5"/>
        <v>0</v>
      </c>
    </row>
    <row r="24" spans="1:19" x14ac:dyDescent="0.25">
      <c r="A24" s="40" t="s">
        <v>66</v>
      </c>
      <c r="B24" s="40"/>
      <c r="C24" s="41">
        <v>95880</v>
      </c>
      <c r="D24" s="41">
        <v>99719</v>
      </c>
      <c r="E24" s="41">
        <v>100163</v>
      </c>
      <c r="F24" s="41">
        <v>104479</v>
      </c>
      <c r="G24" s="41">
        <v>108126</v>
      </c>
      <c r="H24" s="41">
        <v>111551</v>
      </c>
      <c r="I24" s="41">
        <v>115725</v>
      </c>
      <c r="J24" s="41">
        <v>120041.48643772073</v>
      </c>
      <c r="K24" s="142">
        <f>SUM(F24:J24)</f>
        <v>559922.48643772071</v>
      </c>
      <c r="M24" s="40" t="s">
        <v>66</v>
      </c>
      <c r="N24" s="41">
        <f t="shared" si="8"/>
        <v>949</v>
      </c>
      <c r="O24" s="41">
        <f t="shared" si="9"/>
        <v>2471</v>
      </c>
      <c r="P24" s="41">
        <f t="shared" si="10"/>
        <v>2106</v>
      </c>
      <c r="Q24" s="41">
        <f t="shared" si="11"/>
        <v>2321</v>
      </c>
      <c r="R24" s="41">
        <f>J48-J24</f>
        <v>3892.5135622792732</v>
      </c>
      <c r="S24" s="142">
        <f t="shared" si="5"/>
        <v>11739.513562279273</v>
      </c>
    </row>
    <row r="25" spans="1:19" x14ac:dyDescent="0.25">
      <c r="A25" s="6" t="s">
        <v>67</v>
      </c>
      <c r="B25" s="7"/>
      <c r="C25" s="36"/>
      <c r="D25" s="36"/>
      <c r="E25" s="36"/>
      <c r="F25" s="36"/>
      <c r="G25" s="36"/>
      <c r="H25" s="36"/>
      <c r="I25" s="36"/>
      <c r="J25" s="36"/>
      <c r="K25" s="27"/>
    </row>
    <row r="26" spans="1:19" x14ac:dyDescent="0.25">
      <c r="A26" s="32" t="s">
        <v>68</v>
      </c>
      <c r="B26" s="7"/>
      <c r="C26" s="36"/>
      <c r="D26" s="36"/>
      <c r="E26" s="36"/>
      <c r="F26" s="36"/>
      <c r="G26" s="36"/>
      <c r="H26" s="36"/>
      <c r="I26" s="36"/>
      <c r="J26" s="7"/>
      <c r="K26" s="27"/>
    </row>
    <row r="27" spans="1:19" x14ac:dyDescent="0.25">
      <c r="A27" s="37"/>
      <c r="B27" s="7"/>
      <c r="C27" s="36"/>
      <c r="D27" s="36"/>
      <c r="E27" s="36"/>
      <c r="F27" s="36"/>
      <c r="G27" s="36"/>
      <c r="H27" s="36"/>
      <c r="I27" s="36"/>
      <c r="J27" s="7"/>
      <c r="K27" s="27"/>
      <c r="N27" s="44" t="s">
        <v>43</v>
      </c>
      <c r="O27" s="44" t="s">
        <v>44</v>
      </c>
      <c r="P27" s="44" t="s">
        <v>45</v>
      </c>
      <c r="Q27" s="44" t="s">
        <v>46</v>
      </c>
      <c r="R27" s="6">
        <v>2022</v>
      </c>
      <c r="S27" s="146" t="s">
        <v>135</v>
      </c>
    </row>
    <row r="28" spans="1:19" x14ac:dyDescent="0.25">
      <c r="A28" s="7"/>
      <c r="B28" s="7"/>
      <c r="C28" s="30" t="s">
        <v>40</v>
      </c>
      <c r="D28" s="30" t="s">
        <v>41</v>
      </c>
      <c r="E28" s="30" t="s">
        <v>42</v>
      </c>
      <c r="F28" s="44" t="s">
        <v>43</v>
      </c>
      <c r="G28" s="44" t="s">
        <v>44</v>
      </c>
      <c r="H28" s="44" t="s">
        <v>45</v>
      </c>
      <c r="I28" s="44" t="s">
        <v>46</v>
      </c>
      <c r="J28" s="6">
        <v>2022</v>
      </c>
      <c r="K28" s="141" t="s">
        <v>80</v>
      </c>
      <c r="M28" s="164" t="s">
        <v>77</v>
      </c>
      <c r="N28" s="157"/>
      <c r="O28" s="157"/>
      <c r="P28" s="157"/>
      <c r="Q28" s="157"/>
      <c r="R28" s="157"/>
      <c r="S28" s="158"/>
    </row>
    <row r="29" spans="1:19" x14ac:dyDescent="0.25">
      <c r="A29" s="33" t="s">
        <v>69</v>
      </c>
      <c r="B29" s="7"/>
      <c r="C29" s="30" t="s">
        <v>47</v>
      </c>
      <c r="D29" s="30" t="s">
        <v>47</v>
      </c>
      <c r="E29" s="30" t="s">
        <v>48</v>
      </c>
      <c r="F29" s="30" t="s">
        <v>48</v>
      </c>
      <c r="G29" s="30" t="s">
        <v>48</v>
      </c>
      <c r="H29" s="30" t="s">
        <v>48</v>
      </c>
      <c r="I29" s="30" t="s">
        <v>48</v>
      </c>
      <c r="J29" s="30" t="s">
        <v>48</v>
      </c>
      <c r="K29" s="27"/>
      <c r="M29" s="165" t="s">
        <v>39</v>
      </c>
      <c r="N29" s="149">
        <v>62239</v>
      </c>
      <c r="O29" s="149">
        <v>63714</v>
      </c>
      <c r="P29" s="149">
        <v>61978</v>
      </c>
      <c r="Q29" s="149">
        <v>60807</v>
      </c>
      <c r="R29" s="149">
        <v>56197</v>
      </c>
      <c r="S29" s="150"/>
    </row>
    <row r="30" spans="1:19" x14ac:dyDescent="0.25">
      <c r="A30" s="7" t="s">
        <v>49</v>
      </c>
      <c r="B30" s="7"/>
      <c r="C30" s="7"/>
      <c r="D30" s="7"/>
      <c r="E30" s="7"/>
      <c r="F30" s="36">
        <v>31796</v>
      </c>
      <c r="G30" s="36">
        <v>34304</v>
      </c>
      <c r="H30" s="36">
        <v>35576</v>
      </c>
      <c r="I30" s="36">
        <v>36864</v>
      </c>
      <c r="J30" s="36">
        <v>38415</v>
      </c>
      <c r="K30" s="27"/>
      <c r="M30" s="165" t="s">
        <v>76</v>
      </c>
      <c r="N30" s="159">
        <v>22</v>
      </c>
      <c r="O30" s="159">
        <v>21.5</v>
      </c>
      <c r="P30" s="159">
        <v>20</v>
      </c>
      <c r="Q30" s="159">
        <v>18.8</v>
      </c>
      <c r="R30" s="159">
        <v>16.7</v>
      </c>
      <c r="S30" s="150"/>
    </row>
    <row r="31" spans="1:19" x14ac:dyDescent="0.25">
      <c r="A31" s="7" t="s">
        <v>50</v>
      </c>
      <c r="B31" s="7"/>
      <c r="C31" s="7"/>
      <c r="D31" s="7"/>
      <c r="E31" s="7"/>
      <c r="F31" s="36">
        <v>16453</v>
      </c>
      <c r="G31" s="36">
        <v>17295</v>
      </c>
      <c r="H31" s="36">
        <v>18016</v>
      </c>
      <c r="I31" s="36">
        <v>18757</v>
      </c>
      <c r="J31" s="36">
        <v>19575</v>
      </c>
      <c r="K31" s="27"/>
      <c r="M31" s="165" t="s">
        <v>75</v>
      </c>
      <c r="N31" s="149">
        <v>65102</v>
      </c>
      <c r="O31" s="149">
        <v>67846</v>
      </c>
      <c r="P31" s="149">
        <v>68087</v>
      </c>
      <c r="Q31" s="149">
        <v>67812</v>
      </c>
      <c r="R31" s="149">
        <v>67552</v>
      </c>
      <c r="S31" s="150"/>
    </row>
    <row r="32" spans="1:19" x14ac:dyDescent="0.25">
      <c r="A32" s="7" t="s">
        <v>51</v>
      </c>
      <c r="B32" s="7"/>
      <c r="C32" s="7"/>
      <c r="D32" s="7"/>
      <c r="E32" s="7"/>
      <c r="F32" s="36">
        <v>15093</v>
      </c>
      <c r="G32" s="36">
        <v>15797</v>
      </c>
      <c r="H32" s="36">
        <v>16230</v>
      </c>
      <c r="I32" s="36">
        <v>16757</v>
      </c>
      <c r="J32" s="36">
        <v>17243</v>
      </c>
      <c r="K32" s="27"/>
      <c r="M32" s="165" t="s">
        <v>76</v>
      </c>
      <c r="N32" s="160">
        <v>23</v>
      </c>
      <c r="O32" s="160">
        <v>22.9</v>
      </c>
      <c r="P32" s="160">
        <v>21.9</v>
      </c>
      <c r="Q32" s="160">
        <v>21</v>
      </c>
      <c r="R32" s="160">
        <v>20</v>
      </c>
      <c r="S32" s="150"/>
    </row>
    <row r="33" spans="1:19" x14ac:dyDescent="0.25">
      <c r="A33" s="7" t="s">
        <v>52</v>
      </c>
      <c r="B33" s="7"/>
      <c r="C33" s="7"/>
      <c r="D33" s="7"/>
      <c r="E33" s="7"/>
      <c r="F33" s="36">
        <v>5358</v>
      </c>
      <c r="G33" s="36">
        <v>4685</v>
      </c>
      <c r="H33" s="36">
        <v>4508</v>
      </c>
      <c r="I33" s="36">
        <v>4352</v>
      </c>
      <c r="J33" s="36">
        <v>4486</v>
      </c>
      <c r="K33" s="27"/>
      <c r="M33" s="165"/>
      <c r="N33" s="153"/>
      <c r="O33" s="153"/>
      <c r="P33" s="153"/>
      <c r="Q33" s="153"/>
      <c r="R33" s="153"/>
      <c r="S33" s="150"/>
    </row>
    <row r="34" spans="1:19" x14ac:dyDescent="0.25">
      <c r="A34" s="7" t="s">
        <v>53</v>
      </c>
      <c r="B34" s="7"/>
      <c r="C34" s="7"/>
      <c r="D34" s="7"/>
      <c r="E34" s="7"/>
      <c r="F34" s="36">
        <v>4435</v>
      </c>
      <c r="G34" s="36">
        <v>4577</v>
      </c>
      <c r="H34" s="36">
        <v>4631</v>
      </c>
      <c r="I34" s="36">
        <v>4673</v>
      </c>
      <c r="J34" s="36">
        <v>4686</v>
      </c>
      <c r="K34" s="27"/>
      <c r="M34" s="166" t="s">
        <v>72</v>
      </c>
      <c r="N34" s="161">
        <f>N31-N29</f>
        <v>2863</v>
      </c>
      <c r="O34" s="161">
        <f>O31-O29</f>
        <v>4132</v>
      </c>
      <c r="P34" s="161">
        <f>P31-P29</f>
        <v>6109</v>
      </c>
      <c r="Q34" s="161">
        <f>Q31-Q29</f>
        <v>7005</v>
      </c>
      <c r="R34" s="161">
        <f>R31-R29</f>
        <v>11355</v>
      </c>
      <c r="S34" s="162">
        <f>SUM(N34:R34)</f>
        <v>31464</v>
      </c>
    </row>
    <row r="35" spans="1:19" x14ac:dyDescent="0.25">
      <c r="A35" s="7" t="s">
        <v>54</v>
      </c>
      <c r="B35" s="7"/>
      <c r="C35" s="7"/>
      <c r="D35" s="7"/>
      <c r="E35" s="7"/>
      <c r="F35" s="36">
        <v>9778</v>
      </c>
      <c r="G35" s="36">
        <v>10083</v>
      </c>
      <c r="H35" s="36">
        <v>10191</v>
      </c>
      <c r="I35" s="36">
        <v>11120</v>
      </c>
      <c r="J35" s="36">
        <v>11422</v>
      </c>
      <c r="K35" s="27"/>
      <c r="M35" s="7"/>
      <c r="N35" s="7"/>
      <c r="O35" s="7"/>
      <c r="P35" s="7"/>
      <c r="Q35" s="7"/>
      <c r="R35" s="7"/>
      <c r="S35" s="27"/>
    </row>
    <row r="36" spans="1:19" x14ac:dyDescent="0.25">
      <c r="A36" s="7" t="s">
        <v>55</v>
      </c>
      <c r="B36" s="7"/>
      <c r="C36" s="7"/>
      <c r="D36" s="7"/>
      <c r="E36" s="7"/>
      <c r="F36" s="36">
        <v>8062</v>
      </c>
      <c r="G36" s="36">
        <v>8733</v>
      </c>
      <c r="H36" s="36">
        <v>9122</v>
      </c>
      <c r="I36" s="36">
        <v>9214</v>
      </c>
      <c r="J36" s="36">
        <v>9629</v>
      </c>
      <c r="K36" s="27"/>
      <c r="M36" s="164" t="s">
        <v>78</v>
      </c>
      <c r="N36" s="147"/>
      <c r="O36" s="147"/>
      <c r="P36" s="147"/>
      <c r="Q36" s="147"/>
      <c r="R36" s="147"/>
      <c r="S36" s="148"/>
    </row>
    <row r="37" spans="1:19" x14ac:dyDescent="0.25">
      <c r="A37" s="7" t="s">
        <v>56</v>
      </c>
      <c r="B37" s="7"/>
      <c r="C37" s="7"/>
      <c r="D37" s="7"/>
      <c r="E37" s="7"/>
      <c r="F37" s="36">
        <v>2286</v>
      </c>
      <c r="G37" s="36">
        <v>2351</v>
      </c>
      <c r="H37" s="36">
        <v>2362</v>
      </c>
      <c r="I37" s="36">
        <v>2372</v>
      </c>
      <c r="J37" s="36">
        <v>2372</v>
      </c>
      <c r="K37" s="27"/>
      <c r="M37" s="165" t="s">
        <v>39</v>
      </c>
      <c r="N37" s="149">
        <v>80985</v>
      </c>
      <c r="O37" s="149">
        <v>83673</v>
      </c>
      <c r="P37" s="149">
        <v>86121</v>
      </c>
      <c r="Q37" s="149">
        <v>89464</v>
      </c>
      <c r="R37" s="149">
        <v>92178</v>
      </c>
      <c r="S37" s="150"/>
    </row>
    <row r="38" spans="1:19" x14ac:dyDescent="0.25">
      <c r="A38" s="7" t="s">
        <v>57</v>
      </c>
      <c r="B38" s="7"/>
      <c r="C38" s="7"/>
      <c r="D38" s="7"/>
      <c r="E38" s="7"/>
      <c r="F38" s="36">
        <v>2327</v>
      </c>
      <c r="G38" s="36">
        <v>2351</v>
      </c>
      <c r="H38" s="36">
        <v>2356</v>
      </c>
      <c r="I38" s="36">
        <v>2364</v>
      </c>
      <c r="J38" s="36">
        <v>2460</v>
      </c>
      <c r="K38" s="27"/>
      <c r="M38" s="165" t="s">
        <v>76</v>
      </c>
      <c r="N38" s="151">
        <v>28.7</v>
      </c>
      <c r="O38" s="151">
        <v>28.2</v>
      </c>
      <c r="P38" s="151">
        <v>27.7</v>
      </c>
      <c r="Q38" s="151">
        <v>27.7</v>
      </c>
      <c r="R38" s="151">
        <v>27.3</v>
      </c>
      <c r="S38" s="150"/>
    </row>
    <row r="39" spans="1:19" x14ac:dyDescent="0.25">
      <c r="A39" s="7" t="s">
        <v>58</v>
      </c>
      <c r="B39" s="7"/>
      <c r="C39" s="7"/>
      <c r="D39" s="7"/>
      <c r="E39" s="7"/>
      <c r="F39" s="36">
        <v>1994</v>
      </c>
      <c r="G39" s="36">
        <v>1987</v>
      </c>
      <c r="H39" s="36">
        <v>1992</v>
      </c>
      <c r="I39" s="36">
        <v>2043</v>
      </c>
      <c r="J39" s="36">
        <v>2105</v>
      </c>
      <c r="K39" s="27"/>
      <c r="M39" s="165" t="s">
        <v>75</v>
      </c>
      <c r="N39" s="149">
        <v>81934</v>
      </c>
      <c r="O39" s="149">
        <v>86144</v>
      </c>
      <c r="P39" s="149">
        <v>88227</v>
      </c>
      <c r="Q39" s="149">
        <v>91785</v>
      </c>
      <c r="R39" s="149">
        <v>96071</v>
      </c>
      <c r="S39" s="150"/>
    </row>
    <row r="40" spans="1:19" x14ac:dyDescent="0.25">
      <c r="A40" s="7" t="s">
        <v>59</v>
      </c>
      <c r="B40" s="7"/>
      <c r="C40" s="7"/>
      <c r="D40" s="7"/>
      <c r="E40" s="7"/>
      <c r="F40" s="36">
        <v>2215</v>
      </c>
      <c r="G40" s="36">
        <v>2130</v>
      </c>
      <c r="H40" s="36">
        <v>2113</v>
      </c>
      <c r="I40" s="36">
        <v>2252</v>
      </c>
      <c r="J40" s="36">
        <v>2357</v>
      </c>
      <c r="K40" s="27"/>
      <c r="M40" s="165" t="s">
        <v>76</v>
      </c>
      <c r="N40" s="152">
        <v>29</v>
      </c>
      <c r="O40" s="152">
        <v>29</v>
      </c>
      <c r="P40" s="152">
        <v>28.4</v>
      </c>
      <c r="Q40" s="152">
        <v>28.4</v>
      </c>
      <c r="R40" s="152">
        <v>28.5</v>
      </c>
      <c r="S40" s="150"/>
    </row>
    <row r="41" spans="1:19" x14ac:dyDescent="0.25">
      <c r="A41" s="7" t="s">
        <v>60</v>
      </c>
      <c r="B41" s="7"/>
      <c r="C41" s="7"/>
      <c r="D41" s="7"/>
      <c r="E41" s="7"/>
      <c r="F41" s="36">
        <v>1025</v>
      </c>
      <c r="G41" s="7">
        <v>937</v>
      </c>
      <c r="H41" s="7">
        <v>994</v>
      </c>
      <c r="I41" s="7">
        <v>996</v>
      </c>
      <c r="J41" s="7">
        <v>996</v>
      </c>
      <c r="K41" s="27"/>
      <c r="M41" s="165"/>
      <c r="N41" s="153"/>
      <c r="O41" s="153"/>
      <c r="P41" s="153"/>
      <c r="Q41" s="153"/>
      <c r="R41" s="153"/>
      <c r="S41" s="150"/>
    </row>
    <row r="42" spans="1:19" x14ac:dyDescent="0.25">
      <c r="A42" s="7" t="s">
        <v>61</v>
      </c>
      <c r="B42" s="7"/>
      <c r="C42" s="7"/>
      <c r="D42" s="7"/>
      <c r="E42" s="7"/>
      <c r="F42" s="7">
        <v>167</v>
      </c>
      <c r="G42" s="7">
        <v>213</v>
      </c>
      <c r="H42" s="7">
        <v>240</v>
      </c>
      <c r="I42" s="7">
        <v>256</v>
      </c>
      <c r="J42" s="7">
        <v>247</v>
      </c>
      <c r="K42" s="27"/>
      <c r="M42" s="165" t="s">
        <v>72</v>
      </c>
      <c r="N42" s="149">
        <f>N39-N37</f>
        <v>949</v>
      </c>
      <c r="O42" s="149">
        <f>O39-O37</f>
        <v>2471</v>
      </c>
      <c r="P42" s="149">
        <f>P39-P37</f>
        <v>2106</v>
      </c>
      <c r="Q42" s="149">
        <f>Q39-Q37</f>
        <v>2321</v>
      </c>
      <c r="R42" s="149">
        <f>R39-R37</f>
        <v>3893</v>
      </c>
      <c r="S42" s="154">
        <f>SUM(N42:R42)</f>
        <v>11740</v>
      </c>
    </row>
    <row r="43" spans="1:19" x14ac:dyDescent="0.25">
      <c r="A43" s="7" t="s">
        <v>62</v>
      </c>
      <c r="B43" s="7"/>
      <c r="C43" s="7"/>
      <c r="D43" s="7"/>
      <c r="E43" s="7"/>
      <c r="F43" s="7">
        <v>453</v>
      </c>
      <c r="G43" s="7">
        <v>615</v>
      </c>
      <c r="H43" s="7">
        <v>610</v>
      </c>
      <c r="I43" s="7">
        <v>610</v>
      </c>
      <c r="J43" s="7">
        <v>150</v>
      </c>
      <c r="K43" s="27"/>
      <c r="M43" s="165"/>
      <c r="N43" s="153"/>
      <c r="O43" s="153"/>
      <c r="P43" s="153"/>
      <c r="Q43" s="153"/>
      <c r="R43" s="153"/>
      <c r="S43" s="150"/>
    </row>
    <row r="44" spans="1:19" x14ac:dyDescent="0.25">
      <c r="A44" s="7" t="s">
        <v>63</v>
      </c>
      <c r="B44" s="7"/>
      <c r="C44" s="7"/>
      <c r="D44" s="7"/>
      <c r="E44" s="7"/>
      <c r="F44" s="36">
        <v>4248</v>
      </c>
      <c r="G44" s="36">
        <v>4274</v>
      </c>
      <c r="H44" s="36">
        <v>4359</v>
      </c>
      <c r="I44" s="36">
        <v>4443</v>
      </c>
      <c r="J44" s="36">
        <v>4882</v>
      </c>
      <c r="K44" s="27"/>
      <c r="M44" s="166" t="s">
        <v>79</v>
      </c>
      <c r="N44" s="155">
        <f>N22</f>
        <v>421</v>
      </c>
      <c r="O44" s="155">
        <f t="shared" ref="O44:R44" si="13">O22</f>
        <v>-1199</v>
      </c>
      <c r="P44" s="155">
        <f t="shared" si="13"/>
        <v>-2867</v>
      </c>
      <c r="Q44" s="155">
        <f t="shared" si="13"/>
        <v>-4023</v>
      </c>
      <c r="R44" s="155">
        <f t="shared" si="13"/>
        <v>-4066</v>
      </c>
      <c r="S44" s="156">
        <f>SUM(N44:R44)</f>
        <v>-11734</v>
      </c>
    </row>
    <row r="45" spans="1:19" x14ac:dyDescent="0.25">
      <c r="A45" s="6" t="s">
        <v>73</v>
      </c>
      <c r="B45" s="6"/>
      <c r="C45" s="38"/>
      <c r="D45" s="7"/>
      <c r="E45" s="7"/>
      <c r="F45" s="41">
        <f>SUM(F30:F44)</f>
        <v>105690</v>
      </c>
      <c r="G45" s="41">
        <f t="shared" ref="G45:J45" si="14">SUM(G30:G44)</f>
        <v>110332</v>
      </c>
      <c r="H45" s="41">
        <f t="shared" si="14"/>
        <v>113300</v>
      </c>
      <c r="I45" s="41">
        <f t="shared" si="14"/>
        <v>117073</v>
      </c>
      <c r="J45" s="41">
        <f t="shared" si="14"/>
        <v>121025</v>
      </c>
      <c r="K45" s="142">
        <f t="shared" ref="K45:K48" si="15">SUM(F45:J45)</f>
        <v>567420</v>
      </c>
      <c r="M45" s="7"/>
      <c r="N45" s="7"/>
      <c r="O45" s="7"/>
      <c r="P45" s="7"/>
      <c r="Q45" s="7"/>
      <c r="R45" s="7"/>
      <c r="S45" s="27"/>
    </row>
    <row r="46" spans="1:19" x14ac:dyDescent="0.25">
      <c r="A46" s="7" t="s">
        <v>21</v>
      </c>
      <c r="B46" s="7"/>
      <c r="C46" s="7"/>
      <c r="D46" s="7"/>
      <c r="E46" s="7"/>
      <c r="F46" s="7">
        <v>913</v>
      </c>
      <c r="G46" s="7">
        <v>835</v>
      </c>
      <c r="H46" s="7">
        <v>879</v>
      </c>
      <c r="I46" s="36">
        <v>1472</v>
      </c>
      <c r="J46" s="36">
        <v>3429</v>
      </c>
      <c r="K46" s="143">
        <f>SUM(F46:J46)</f>
        <v>7528</v>
      </c>
      <c r="M46" s="7"/>
      <c r="N46" s="7"/>
      <c r="O46" s="7"/>
      <c r="P46" s="7"/>
      <c r="Q46" s="7"/>
      <c r="R46" s="7"/>
      <c r="S46" s="27"/>
    </row>
    <row r="47" spans="1:19" x14ac:dyDescent="0.25">
      <c r="A47" s="7" t="s">
        <v>22</v>
      </c>
      <c r="B47" s="7"/>
      <c r="C47" s="7"/>
      <c r="D47" s="7"/>
      <c r="E47" s="7"/>
      <c r="F47" s="36">
        <v>-1175</v>
      </c>
      <c r="G47" s="7">
        <v>-570</v>
      </c>
      <c r="H47" s="7">
        <v>-525</v>
      </c>
      <c r="I47" s="7">
        <v>-500</v>
      </c>
      <c r="J47" s="7">
        <v>-520</v>
      </c>
      <c r="K47" s="143">
        <f t="shared" si="15"/>
        <v>-3290</v>
      </c>
      <c r="M47" s="167" t="s">
        <v>81</v>
      </c>
      <c r="N47" s="147"/>
      <c r="O47" s="147"/>
      <c r="P47" s="147"/>
      <c r="Q47" s="147"/>
      <c r="R47" s="147"/>
      <c r="S47" s="148"/>
    </row>
    <row r="48" spans="1:19" x14ac:dyDescent="0.25">
      <c r="A48" s="42" t="s">
        <v>66</v>
      </c>
      <c r="B48" s="7"/>
      <c r="C48" s="7"/>
      <c r="D48" s="7"/>
      <c r="E48" s="7"/>
      <c r="F48" s="41">
        <v>105428</v>
      </c>
      <c r="G48" s="41">
        <v>110597</v>
      </c>
      <c r="H48" s="41">
        <v>113657</v>
      </c>
      <c r="I48" s="41">
        <v>118046</v>
      </c>
      <c r="J48" s="41">
        <v>123934</v>
      </c>
      <c r="K48" s="142">
        <f t="shared" si="15"/>
        <v>571662</v>
      </c>
      <c r="M48" s="165" t="s">
        <v>83</v>
      </c>
      <c r="N48" s="149">
        <v>2868.9999999999959</v>
      </c>
      <c r="O48" s="149">
        <v>3514.9999999999932</v>
      </c>
      <c r="P48" s="149">
        <v>5746.0000000000173</v>
      </c>
      <c r="Q48" s="149">
        <v>6440.0000000000109</v>
      </c>
      <c r="R48" s="149">
        <v>8113.9479875897377</v>
      </c>
      <c r="S48" s="163">
        <f>SUM(N48:R48)</f>
        <v>26683.947987589756</v>
      </c>
    </row>
    <row r="49" spans="1:19" x14ac:dyDescent="0.25">
      <c r="A49" s="6" t="s">
        <v>70</v>
      </c>
      <c r="B49" s="7"/>
      <c r="C49" s="7"/>
      <c r="D49" s="7"/>
      <c r="E49" s="7"/>
      <c r="F49" s="36">
        <f>SUM(F45:F47)-F48</f>
        <v>0</v>
      </c>
      <c r="G49" s="36">
        <f t="shared" ref="G49:K49" si="16">SUM(G45:G47)-G48</f>
        <v>0</v>
      </c>
      <c r="H49" s="36">
        <f t="shared" si="16"/>
        <v>-3</v>
      </c>
      <c r="I49" s="36">
        <f t="shared" si="16"/>
        <v>-1</v>
      </c>
      <c r="J49" s="36">
        <f t="shared" si="16"/>
        <v>0</v>
      </c>
      <c r="K49" s="36">
        <f t="shared" si="16"/>
        <v>-4</v>
      </c>
      <c r="M49" s="165" t="s">
        <v>82</v>
      </c>
      <c r="N49" s="149">
        <v>2506</v>
      </c>
      <c r="O49" s="149">
        <v>3245</v>
      </c>
      <c r="P49" s="149">
        <v>5870</v>
      </c>
      <c r="Q49" s="149">
        <v>6460</v>
      </c>
      <c r="R49" s="149">
        <v>6594</v>
      </c>
      <c r="S49" s="163">
        <f>SUM(N49:R49)</f>
        <v>24675</v>
      </c>
    </row>
    <row r="50" spans="1:19" x14ac:dyDescent="0.25">
      <c r="A50" s="32" t="s">
        <v>71</v>
      </c>
      <c r="B50" s="7"/>
      <c r="C50" s="7"/>
      <c r="D50" s="7"/>
      <c r="E50" s="7"/>
      <c r="F50" s="7"/>
      <c r="G50" s="7"/>
      <c r="H50" s="7"/>
      <c r="I50" s="7"/>
      <c r="J50" s="7"/>
      <c r="K50" s="7"/>
      <c r="M50" s="166" t="s">
        <v>84</v>
      </c>
      <c r="N50" s="161">
        <f t="shared" ref="N50:S50" si="17">N48-N49</f>
        <v>362.99999999999591</v>
      </c>
      <c r="O50" s="161">
        <f t="shared" si="17"/>
        <v>269.99999999999318</v>
      </c>
      <c r="P50" s="161">
        <f t="shared" si="17"/>
        <v>-123.99999999998272</v>
      </c>
      <c r="Q50" s="161">
        <f t="shared" si="17"/>
        <v>-19.999999999989086</v>
      </c>
      <c r="R50" s="161">
        <f t="shared" si="17"/>
        <v>1519.9479875897377</v>
      </c>
      <c r="S50" s="162">
        <f t="shared" si="17"/>
        <v>2008.9479875897559</v>
      </c>
    </row>
    <row r="52" spans="1:19" x14ac:dyDescent="0.25">
      <c r="A52" s="1"/>
    </row>
  </sheetData>
  <hyperlinks>
    <hyperlink ref="A50" r:id="rId1"/>
    <hyperlink ref="A26" r:id="rId2"/>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52"/>
  <sheetViews>
    <sheetView topLeftCell="A34" workbookViewId="0"/>
  </sheetViews>
  <sheetFormatPr defaultRowHeight="14.25" x14ac:dyDescent="0.2"/>
  <cols>
    <col min="1" max="1" width="36.85546875" style="7" customWidth="1"/>
    <col min="2" max="13" width="9.140625" style="7"/>
    <col min="14" max="14" width="13.5703125" style="7" customWidth="1"/>
    <col min="15" max="15" width="11" style="7" customWidth="1"/>
    <col min="16" max="16" width="10.7109375" style="7" customWidth="1"/>
    <col min="17" max="17" width="11.5703125" style="7" customWidth="1"/>
    <col min="18" max="18" width="12" style="7" customWidth="1"/>
    <col min="19" max="16384" width="9.140625" style="7"/>
  </cols>
  <sheetData>
    <row r="1" spans="1:20" x14ac:dyDescent="0.2">
      <c r="A1" s="7" t="s">
        <v>211</v>
      </c>
      <c r="N1" s="7" t="s">
        <v>177</v>
      </c>
    </row>
    <row r="2" spans="1:20" ht="60" x14ac:dyDescent="0.25">
      <c r="A2" s="6" t="s">
        <v>164</v>
      </c>
      <c r="O2" s="206" t="str">
        <f>A5</f>
        <v>Personnel expenses</v>
      </c>
      <c r="P2" s="206" t="str">
        <f>A7</f>
        <v>Other operating expenses</v>
      </c>
      <c r="Q2" s="207" t="str">
        <f>A24</f>
        <v>Personnel + Other operating</v>
      </c>
      <c r="R2" s="208" t="s">
        <v>175</v>
      </c>
      <c r="T2" s="30" t="s">
        <v>178</v>
      </c>
    </row>
    <row r="3" spans="1:20" ht="15" x14ac:dyDescent="0.25">
      <c r="A3" s="192" t="s">
        <v>165</v>
      </c>
      <c r="B3" s="191">
        <v>2007</v>
      </c>
      <c r="C3" s="191">
        <v>2008</v>
      </c>
      <c r="D3" s="191">
        <v>2009</v>
      </c>
      <c r="E3" s="191">
        <v>2010</v>
      </c>
      <c r="F3" s="191">
        <v>2011</v>
      </c>
      <c r="G3" s="191">
        <v>2012</v>
      </c>
      <c r="H3" s="191">
        <v>2013</v>
      </c>
      <c r="I3" s="191">
        <v>2014</v>
      </c>
      <c r="J3" s="191">
        <v>2015</v>
      </c>
      <c r="K3" s="191">
        <v>2016</v>
      </c>
      <c r="N3" s="7" t="s">
        <v>174</v>
      </c>
      <c r="O3" s="29">
        <f>L17</f>
        <v>4.0048341729536308E-2</v>
      </c>
      <c r="P3" s="29">
        <f>L19</f>
        <v>2.8547411484858065E-2</v>
      </c>
      <c r="Q3" s="45">
        <f>L24</f>
        <v>3.2741460323374438E-2</v>
      </c>
      <c r="R3" s="45">
        <f>L16</f>
        <v>4.5096941920603761E-2</v>
      </c>
      <c r="S3" s="7" t="s">
        <v>174</v>
      </c>
      <c r="T3" s="29">
        <f>R3-Q3</f>
        <v>1.2355481597229323E-2</v>
      </c>
    </row>
    <row r="4" spans="1:20" ht="15" x14ac:dyDescent="0.25">
      <c r="A4" s="187" t="s">
        <v>15</v>
      </c>
      <c r="B4" s="188">
        <v>16346</v>
      </c>
      <c r="C4" s="188">
        <v>18374</v>
      </c>
      <c r="D4" s="188">
        <v>19962</v>
      </c>
      <c r="E4" s="188">
        <v>21213</v>
      </c>
      <c r="F4" s="188">
        <v>22172</v>
      </c>
      <c r="G4" s="188">
        <v>22354</v>
      </c>
      <c r="H4" s="188">
        <v>22708</v>
      </c>
      <c r="I4" s="188">
        <v>23360</v>
      </c>
      <c r="J4" s="188">
        <v>23723</v>
      </c>
      <c r="K4" s="188">
        <v>24312</v>
      </c>
      <c r="N4" s="7" t="s">
        <v>173</v>
      </c>
      <c r="O4" s="29">
        <f>R31</f>
        <v>1.0374461532758339E-2</v>
      </c>
      <c r="P4" s="29">
        <f>R33</f>
        <v>1.4818584962674741E-3</v>
      </c>
      <c r="Q4" s="45">
        <f>R50</f>
        <v>4.6765418287404437E-3</v>
      </c>
      <c r="R4" s="45">
        <f>R42</f>
        <v>3.8502593308435307E-2</v>
      </c>
      <c r="S4" s="7" t="s">
        <v>173</v>
      </c>
      <c r="T4" s="29">
        <f>R4-Q4</f>
        <v>3.3826051479694863E-2</v>
      </c>
    </row>
    <row r="5" spans="1:20" ht="15" x14ac:dyDescent="0.25">
      <c r="A5" s="187" t="s">
        <v>16</v>
      </c>
      <c r="B5" s="188">
        <v>15284</v>
      </c>
      <c r="C5" s="188">
        <v>16478</v>
      </c>
      <c r="D5" s="188">
        <v>18064</v>
      </c>
      <c r="E5" s="188">
        <v>18477</v>
      </c>
      <c r="F5" s="188">
        <v>19088</v>
      </c>
      <c r="G5" s="188">
        <v>19475</v>
      </c>
      <c r="H5" s="188">
        <v>19935</v>
      </c>
      <c r="I5" s="188">
        <v>20484</v>
      </c>
      <c r="J5" s="188">
        <v>21124</v>
      </c>
      <c r="K5" s="188">
        <v>21763</v>
      </c>
      <c r="N5" s="40" t="s">
        <v>176</v>
      </c>
      <c r="O5" s="204">
        <f>O4-O3</f>
        <v>-2.9673880196777969E-2</v>
      </c>
      <c r="P5" s="204">
        <f t="shared" ref="P5:R5" si="0">P4-P3</f>
        <v>-2.7065552988590591E-2</v>
      </c>
      <c r="Q5" s="205">
        <f t="shared" si="0"/>
        <v>-2.8064918494633995E-2</v>
      </c>
      <c r="R5" s="205">
        <f t="shared" si="0"/>
        <v>-6.5943486121684547E-3</v>
      </c>
    </row>
    <row r="6" spans="1:20" x14ac:dyDescent="0.2">
      <c r="A6" s="187" t="s">
        <v>17</v>
      </c>
      <c r="B6" s="188">
        <v>3397</v>
      </c>
      <c r="C6" s="188">
        <v>3670</v>
      </c>
      <c r="D6" s="188">
        <v>4305</v>
      </c>
      <c r="E6" s="188">
        <v>4229</v>
      </c>
      <c r="F6" s="188">
        <v>4682</v>
      </c>
      <c r="G6" s="188">
        <v>6350</v>
      </c>
      <c r="H6" s="188">
        <v>4812</v>
      </c>
      <c r="I6" s="188">
        <v>4872</v>
      </c>
      <c r="J6" s="188">
        <v>4842</v>
      </c>
      <c r="K6" s="188">
        <v>4875</v>
      </c>
    </row>
    <row r="7" spans="1:20" x14ac:dyDescent="0.2">
      <c r="A7" s="187" t="s">
        <v>18</v>
      </c>
      <c r="B7" s="188">
        <v>27842</v>
      </c>
      <c r="C7" s="188">
        <v>30656</v>
      </c>
      <c r="D7" s="188">
        <v>34116</v>
      </c>
      <c r="E7" s="188">
        <v>31338</v>
      </c>
      <c r="F7" s="188">
        <v>35829</v>
      </c>
      <c r="G7" s="188">
        <v>35678</v>
      </c>
      <c r="H7" s="188">
        <v>36163</v>
      </c>
      <c r="I7" s="188">
        <v>35553</v>
      </c>
      <c r="J7" s="188">
        <v>35910</v>
      </c>
      <c r="K7" s="188">
        <v>35869</v>
      </c>
    </row>
    <row r="8" spans="1:20" x14ac:dyDescent="0.2">
      <c r="A8" s="187" t="s">
        <v>19</v>
      </c>
      <c r="B8" s="188">
        <v>2885</v>
      </c>
      <c r="C8" s="188">
        <v>3101</v>
      </c>
      <c r="D8" s="188">
        <v>3070</v>
      </c>
      <c r="E8" s="188">
        <v>2777</v>
      </c>
      <c r="F8" s="188">
        <v>3596</v>
      </c>
      <c r="G8" s="188">
        <v>4290</v>
      </c>
      <c r="H8" s="188">
        <v>4358</v>
      </c>
      <c r="I8" s="188">
        <v>4400</v>
      </c>
      <c r="J8" s="188">
        <v>4563</v>
      </c>
      <c r="K8" s="188">
        <v>4336</v>
      </c>
    </row>
    <row r="9" spans="1:20" x14ac:dyDescent="0.2">
      <c r="A9" s="187" t="s">
        <v>20</v>
      </c>
      <c r="B9" s="188">
        <v>2975</v>
      </c>
      <c r="C9" s="188">
        <v>3563</v>
      </c>
      <c r="D9" s="188">
        <v>3882</v>
      </c>
      <c r="E9" s="188">
        <v>3006</v>
      </c>
      <c r="F9" s="188">
        <v>14592</v>
      </c>
      <c r="G9" s="188">
        <v>4576</v>
      </c>
      <c r="H9" s="188">
        <v>3031</v>
      </c>
      <c r="I9" s="188">
        <v>3501</v>
      </c>
      <c r="J9" s="188">
        <v>4110</v>
      </c>
      <c r="K9" s="188">
        <v>4725</v>
      </c>
    </row>
    <row r="10" spans="1:20" x14ac:dyDescent="0.2">
      <c r="A10" s="187" t="s">
        <v>21</v>
      </c>
      <c r="B10" s="188">
        <v>0</v>
      </c>
      <c r="C10" s="188">
        <v>0</v>
      </c>
      <c r="D10" s="188">
        <v>0</v>
      </c>
      <c r="E10" s="188">
        <v>0</v>
      </c>
      <c r="F10" s="188">
        <v>0</v>
      </c>
      <c r="G10" s="188">
        <v>0</v>
      </c>
      <c r="H10" s="188">
        <v>0</v>
      </c>
      <c r="I10" s="188">
        <v>0</v>
      </c>
      <c r="J10" s="188">
        <v>0</v>
      </c>
      <c r="K10" s="188">
        <v>0</v>
      </c>
    </row>
    <row r="11" spans="1:20" x14ac:dyDescent="0.2">
      <c r="A11" s="187" t="s">
        <v>22</v>
      </c>
      <c r="B11" s="188">
        <v>0</v>
      </c>
      <c r="C11" s="188">
        <v>0</v>
      </c>
      <c r="D11" s="188">
        <v>0</v>
      </c>
      <c r="E11" s="188">
        <v>0</v>
      </c>
      <c r="F11" s="188">
        <v>0</v>
      </c>
      <c r="G11" s="188">
        <v>0</v>
      </c>
      <c r="H11" s="188">
        <v>0</v>
      </c>
      <c r="I11" s="188">
        <v>0</v>
      </c>
      <c r="J11" s="188">
        <v>0</v>
      </c>
      <c r="K11" s="188">
        <v>0</v>
      </c>
    </row>
    <row r="12" spans="1:20" x14ac:dyDescent="0.2">
      <c r="A12" s="186" t="s">
        <v>23</v>
      </c>
      <c r="B12" s="189">
        <v>68729</v>
      </c>
      <c r="C12" s="189">
        <v>75842</v>
      </c>
      <c r="D12" s="189">
        <v>83399</v>
      </c>
      <c r="E12" s="189">
        <v>81040</v>
      </c>
      <c r="F12" s="189">
        <v>99959.000000000015</v>
      </c>
      <c r="G12" s="189">
        <v>92723</v>
      </c>
      <c r="H12" s="189">
        <v>91007</v>
      </c>
      <c r="I12" s="189">
        <v>92170.000000000015</v>
      </c>
      <c r="J12" s="189">
        <v>94271.999999999985</v>
      </c>
      <c r="K12" s="189">
        <v>95880</v>
      </c>
    </row>
    <row r="13" spans="1:20" x14ac:dyDescent="0.2">
      <c r="B13" s="24" t="b">
        <f>SUM(B4:B11)=B12</f>
        <v>1</v>
      </c>
      <c r="C13" s="24" t="b">
        <f t="shared" ref="C13:K13" si="1">SUM(C4:C11)=C12</f>
        <v>1</v>
      </c>
      <c r="D13" s="24" t="b">
        <f t="shared" si="1"/>
        <v>1</v>
      </c>
      <c r="E13" s="24" t="b">
        <f t="shared" si="1"/>
        <v>1</v>
      </c>
      <c r="F13" s="24" t="b">
        <f t="shared" si="1"/>
        <v>1</v>
      </c>
      <c r="G13" s="24" t="b">
        <f t="shared" si="1"/>
        <v>1</v>
      </c>
      <c r="H13" s="24" t="b">
        <f t="shared" si="1"/>
        <v>1</v>
      </c>
      <c r="I13" s="24" t="b">
        <f t="shared" si="1"/>
        <v>1</v>
      </c>
      <c r="J13" s="24" t="b">
        <f t="shared" si="1"/>
        <v>1</v>
      </c>
      <c r="K13" s="24" t="b">
        <f t="shared" si="1"/>
        <v>1</v>
      </c>
    </row>
    <row r="15" spans="1:20" ht="45" x14ac:dyDescent="0.25">
      <c r="A15" s="6" t="s">
        <v>166</v>
      </c>
      <c r="B15" s="191">
        <v>2007</v>
      </c>
      <c r="C15" s="191">
        <v>2008</v>
      </c>
      <c r="D15" s="191">
        <v>2009</v>
      </c>
      <c r="E15" s="191">
        <v>2010</v>
      </c>
      <c r="F15" s="191">
        <v>2011</v>
      </c>
      <c r="G15" s="191">
        <v>2012</v>
      </c>
      <c r="H15" s="191">
        <v>2013</v>
      </c>
      <c r="I15" s="191">
        <v>2014</v>
      </c>
      <c r="J15" s="191">
        <v>2015</v>
      </c>
      <c r="K15" s="191">
        <v>2016</v>
      </c>
      <c r="L15" s="195" t="s">
        <v>167</v>
      </c>
    </row>
    <row r="16" spans="1:20" x14ac:dyDescent="0.2">
      <c r="A16" s="187" t="s">
        <v>15</v>
      </c>
      <c r="B16" s="188">
        <f>TREND(B4,$B4:$K4)</f>
        <v>16346</v>
      </c>
      <c r="C16" s="188">
        <f t="shared" ref="C16:K16" si="2">TREND(C4,$B4:$K4)</f>
        <v>18374</v>
      </c>
      <c r="D16" s="188">
        <f t="shared" si="2"/>
        <v>19962</v>
      </c>
      <c r="E16" s="188">
        <f t="shared" si="2"/>
        <v>21213</v>
      </c>
      <c r="F16" s="188">
        <f t="shared" si="2"/>
        <v>22172</v>
      </c>
      <c r="G16" s="188">
        <f t="shared" si="2"/>
        <v>22354</v>
      </c>
      <c r="H16" s="188">
        <f t="shared" si="2"/>
        <v>22708</v>
      </c>
      <c r="I16" s="188">
        <f t="shared" si="2"/>
        <v>23360</v>
      </c>
      <c r="J16" s="188">
        <f t="shared" si="2"/>
        <v>23723</v>
      </c>
      <c r="K16" s="188">
        <f t="shared" si="2"/>
        <v>24312</v>
      </c>
      <c r="L16" s="196">
        <f>(K16/B16)^(1/9)-1</f>
        <v>4.5096941920603761E-2</v>
      </c>
    </row>
    <row r="17" spans="1:18" x14ac:dyDescent="0.2">
      <c r="A17" s="187" t="s">
        <v>16</v>
      </c>
      <c r="B17" s="188">
        <f t="shared" ref="B17:K17" si="3">TREND(B5,$B5:$K5)</f>
        <v>15284</v>
      </c>
      <c r="C17" s="188">
        <f t="shared" si="3"/>
        <v>16478</v>
      </c>
      <c r="D17" s="188">
        <f t="shared" si="3"/>
        <v>18064</v>
      </c>
      <c r="E17" s="188">
        <f t="shared" si="3"/>
        <v>18477</v>
      </c>
      <c r="F17" s="188">
        <f t="shared" si="3"/>
        <v>19088</v>
      </c>
      <c r="G17" s="188">
        <f t="shared" si="3"/>
        <v>19475</v>
      </c>
      <c r="H17" s="188">
        <f t="shared" si="3"/>
        <v>19935</v>
      </c>
      <c r="I17" s="188">
        <f t="shared" si="3"/>
        <v>20484</v>
      </c>
      <c r="J17" s="188">
        <f t="shared" si="3"/>
        <v>21124</v>
      </c>
      <c r="K17" s="188">
        <f t="shared" si="3"/>
        <v>21763</v>
      </c>
      <c r="L17" s="196">
        <f t="shared" ref="L17:L25" si="4">(K17/B17)^(1/9)-1</f>
        <v>4.0048341729536308E-2</v>
      </c>
    </row>
    <row r="18" spans="1:18" x14ac:dyDescent="0.2">
      <c r="A18" s="187" t="s">
        <v>17</v>
      </c>
      <c r="B18" s="188">
        <f t="shared" ref="B18:K18" si="5">TREND(B6,$B6:$K6)</f>
        <v>3397</v>
      </c>
      <c r="C18" s="188">
        <f t="shared" si="5"/>
        <v>3670</v>
      </c>
      <c r="D18" s="188">
        <f t="shared" si="5"/>
        <v>4305</v>
      </c>
      <c r="E18" s="188">
        <f t="shared" si="5"/>
        <v>4229</v>
      </c>
      <c r="F18" s="188">
        <f t="shared" si="5"/>
        <v>4682</v>
      </c>
      <c r="G18" s="188">
        <f t="shared" si="5"/>
        <v>6350</v>
      </c>
      <c r="H18" s="188">
        <f t="shared" si="5"/>
        <v>4812</v>
      </c>
      <c r="I18" s="188">
        <f t="shared" si="5"/>
        <v>4872</v>
      </c>
      <c r="J18" s="188">
        <f t="shared" si="5"/>
        <v>4842</v>
      </c>
      <c r="K18" s="188">
        <f t="shared" si="5"/>
        <v>4875</v>
      </c>
      <c r="L18" s="196">
        <f t="shared" si="4"/>
        <v>4.0952729098574059E-2</v>
      </c>
    </row>
    <row r="19" spans="1:18" x14ac:dyDescent="0.2">
      <c r="A19" s="187" t="s">
        <v>18</v>
      </c>
      <c r="B19" s="188">
        <f t="shared" ref="B19:K19" si="6">TREND(B7,$B7:$K7)</f>
        <v>27842</v>
      </c>
      <c r="C19" s="188">
        <f t="shared" si="6"/>
        <v>30656</v>
      </c>
      <c r="D19" s="188">
        <f t="shared" si="6"/>
        <v>34116</v>
      </c>
      <c r="E19" s="188">
        <f t="shared" si="6"/>
        <v>31338</v>
      </c>
      <c r="F19" s="188">
        <f t="shared" si="6"/>
        <v>35829</v>
      </c>
      <c r="G19" s="188">
        <f t="shared" si="6"/>
        <v>35678</v>
      </c>
      <c r="H19" s="188">
        <f t="shared" si="6"/>
        <v>36163</v>
      </c>
      <c r="I19" s="188">
        <f t="shared" si="6"/>
        <v>35553</v>
      </c>
      <c r="J19" s="188">
        <f t="shared" si="6"/>
        <v>35910</v>
      </c>
      <c r="K19" s="188">
        <f t="shared" si="6"/>
        <v>35869</v>
      </c>
      <c r="L19" s="196">
        <f t="shared" si="4"/>
        <v>2.8547411484858065E-2</v>
      </c>
    </row>
    <row r="20" spans="1:18" x14ac:dyDescent="0.2">
      <c r="A20" s="187" t="s">
        <v>19</v>
      </c>
      <c r="B20" s="188">
        <f t="shared" ref="B20:K20" si="7">TREND(B8,$B8:$K8)</f>
        <v>2885</v>
      </c>
      <c r="C20" s="188">
        <f t="shared" si="7"/>
        <v>3101</v>
      </c>
      <c r="D20" s="188">
        <f t="shared" si="7"/>
        <v>3070</v>
      </c>
      <c r="E20" s="188">
        <f t="shared" si="7"/>
        <v>2777</v>
      </c>
      <c r="F20" s="188">
        <f t="shared" si="7"/>
        <v>3596</v>
      </c>
      <c r="G20" s="188">
        <f t="shared" si="7"/>
        <v>4290</v>
      </c>
      <c r="H20" s="188">
        <f t="shared" si="7"/>
        <v>4358</v>
      </c>
      <c r="I20" s="188">
        <f t="shared" si="7"/>
        <v>4400</v>
      </c>
      <c r="J20" s="188">
        <f t="shared" si="7"/>
        <v>4563</v>
      </c>
      <c r="K20" s="188">
        <f t="shared" si="7"/>
        <v>4336</v>
      </c>
      <c r="L20" s="196">
        <f t="shared" si="4"/>
        <v>4.6310019130025859E-2</v>
      </c>
    </row>
    <row r="21" spans="1:18" x14ac:dyDescent="0.2">
      <c r="A21" s="187" t="s">
        <v>20</v>
      </c>
      <c r="B21" s="193">
        <f t="shared" ref="B21:K21" si="8">TREND(B9,$B9:$K9)</f>
        <v>2975</v>
      </c>
      <c r="C21" s="193">
        <f t="shared" si="8"/>
        <v>3563</v>
      </c>
      <c r="D21" s="193">
        <f t="shared" si="8"/>
        <v>3882</v>
      </c>
      <c r="E21" s="193">
        <f t="shared" si="8"/>
        <v>3006</v>
      </c>
      <c r="F21" s="193">
        <f t="shared" si="8"/>
        <v>14592</v>
      </c>
      <c r="G21" s="193">
        <f t="shared" si="8"/>
        <v>4576</v>
      </c>
      <c r="H21" s="193">
        <f t="shared" si="8"/>
        <v>3031</v>
      </c>
      <c r="I21" s="193">
        <f t="shared" si="8"/>
        <v>3501</v>
      </c>
      <c r="J21" s="193">
        <f t="shared" si="8"/>
        <v>4110</v>
      </c>
      <c r="K21" s="193">
        <f t="shared" si="8"/>
        <v>4725</v>
      </c>
      <c r="L21" s="196">
        <f t="shared" si="4"/>
        <v>5.2746658039786398E-2</v>
      </c>
    </row>
    <row r="22" spans="1:18" x14ac:dyDescent="0.2">
      <c r="A22" s="186" t="s">
        <v>23</v>
      </c>
      <c r="B22" s="194">
        <f t="shared" ref="B22:K22" si="9">TREND(B12,$B12:$K12)</f>
        <v>68729</v>
      </c>
      <c r="C22" s="194">
        <f t="shared" si="9"/>
        <v>75842</v>
      </c>
      <c r="D22" s="194">
        <f t="shared" si="9"/>
        <v>83399</v>
      </c>
      <c r="E22" s="194">
        <f t="shared" si="9"/>
        <v>81040</v>
      </c>
      <c r="F22" s="194">
        <f t="shared" si="9"/>
        <v>99959.000000000015</v>
      </c>
      <c r="G22" s="194">
        <f t="shared" si="9"/>
        <v>92723</v>
      </c>
      <c r="H22" s="194">
        <f t="shared" si="9"/>
        <v>91007</v>
      </c>
      <c r="I22" s="194">
        <f t="shared" si="9"/>
        <v>92170.000000000015</v>
      </c>
      <c r="J22" s="194">
        <f t="shared" si="9"/>
        <v>94271.999999999985</v>
      </c>
      <c r="K22" s="194">
        <f t="shared" si="9"/>
        <v>95880</v>
      </c>
      <c r="L22" s="197">
        <f t="shared" si="4"/>
        <v>3.7684508818540907E-2</v>
      </c>
    </row>
    <row r="24" spans="1:18" x14ac:dyDescent="0.2">
      <c r="A24" s="187" t="s">
        <v>171</v>
      </c>
      <c r="B24" s="188">
        <f>B17+B19</f>
        <v>43126</v>
      </c>
      <c r="C24" s="188">
        <f t="shared" ref="C24:K24" si="10">C17+C19</f>
        <v>47134</v>
      </c>
      <c r="D24" s="188">
        <f t="shared" si="10"/>
        <v>52180</v>
      </c>
      <c r="E24" s="188">
        <f t="shared" si="10"/>
        <v>49815</v>
      </c>
      <c r="F24" s="188">
        <f t="shared" si="10"/>
        <v>54917</v>
      </c>
      <c r="G24" s="188">
        <f t="shared" si="10"/>
        <v>55153</v>
      </c>
      <c r="H24" s="188">
        <f t="shared" si="10"/>
        <v>56098</v>
      </c>
      <c r="I24" s="188">
        <f t="shared" si="10"/>
        <v>56037</v>
      </c>
      <c r="J24" s="188">
        <f t="shared" si="10"/>
        <v>57034</v>
      </c>
      <c r="K24" s="188">
        <f t="shared" si="10"/>
        <v>57632</v>
      </c>
      <c r="L24" s="196">
        <f t="shared" si="4"/>
        <v>3.2741460323374438E-2</v>
      </c>
    </row>
    <row r="25" spans="1:18" x14ac:dyDescent="0.2">
      <c r="A25" s="187" t="s">
        <v>172</v>
      </c>
      <c r="B25" s="188">
        <f>B16+B18</f>
        <v>19743</v>
      </c>
      <c r="C25" s="188">
        <f t="shared" ref="C25:K25" si="11">C16+C18</f>
        <v>22044</v>
      </c>
      <c r="D25" s="188">
        <f t="shared" si="11"/>
        <v>24267</v>
      </c>
      <c r="E25" s="188">
        <f t="shared" si="11"/>
        <v>25442</v>
      </c>
      <c r="F25" s="188">
        <f t="shared" si="11"/>
        <v>26854</v>
      </c>
      <c r="G25" s="188">
        <f t="shared" si="11"/>
        <v>28704</v>
      </c>
      <c r="H25" s="188">
        <f t="shared" si="11"/>
        <v>27520</v>
      </c>
      <c r="I25" s="188">
        <f t="shared" si="11"/>
        <v>28232</v>
      </c>
      <c r="J25" s="188">
        <f t="shared" si="11"/>
        <v>28565</v>
      </c>
      <c r="K25" s="188">
        <f t="shared" si="11"/>
        <v>29187</v>
      </c>
      <c r="L25" s="196">
        <f t="shared" si="4"/>
        <v>4.4393198185397553E-2</v>
      </c>
    </row>
    <row r="28" spans="1:18" ht="15" x14ac:dyDescent="0.25">
      <c r="A28" s="6" t="s">
        <v>168</v>
      </c>
    </row>
    <row r="29" spans="1:18" ht="15" x14ac:dyDescent="0.25">
      <c r="A29" s="1" t="s">
        <v>169</v>
      </c>
      <c r="J29" s="1">
        <v>2015</v>
      </c>
      <c r="K29" s="1">
        <v>2016</v>
      </c>
      <c r="L29" s="1">
        <v>2017</v>
      </c>
      <c r="M29" s="1">
        <v>2018</v>
      </c>
      <c r="N29" s="1">
        <v>2019</v>
      </c>
      <c r="O29" s="1">
        <v>2020</v>
      </c>
      <c r="P29" s="1">
        <v>2021</v>
      </c>
      <c r="Q29" s="1">
        <v>2022</v>
      </c>
      <c r="R29" s="7" t="s">
        <v>173</v>
      </c>
    </row>
    <row r="30" spans="1:18" x14ac:dyDescent="0.2">
      <c r="A30" s="7" t="s">
        <v>15</v>
      </c>
      <c r="J30" s="198">
        <v>23.722999999999999</v>
      </c>
      <c r="K30" s="198">
        <v>24.312000000000001</v>
      </c>
      <c r="L30" s="199">
        <v>25.379000000000001</v>
      </c>
      <c r="M30" s="199">
        <v>26.494</v>
      </c>
      <c r="N30" s="199">
        <v>27.646000000000001</v>
      </c>
      <c r="O30" s="199">
        <v>28.498000000000001</v>
      </c>
      <c r="P30" s="199">
        <v>29.471</v>
      </c>
      <c r="Q30" s="198">
        <v>30.816114100763969</v>
      </c>
      <c r="R30" s="202">
        <f>(Q30/M30)^0.25-1</f>
        <v>3.8502593308435307E-2</v>
      </c>
    </row>
    <row r="31" spans="1:18" x14ac:dyDescent="0.2">
      <c r="A31" s="7" t="s">
        <v>16</v>
      </c>
      <c r="J31" s="198">
        <v>21.123999999999999</v>
      </c>
      <c r="K31" s="198">
        <v>21.763000000000002</v>
      </c>
      <c r="L31" s="199">
        <v>22.405000000000001</v>
      </c>
      <c r="M31" s="199">
        <v>22.984999999999999</v>
      </c>
      <c r="N31" s="199">
        <v>23.18</v>
      </c>
      <c r="O31" s="199">
        <v>23.332999999999998</v>
      </c>
      <c r="P31" s="199">
        <v>23.637</v>
      </c>
      <c r="Q31" s="198">
        <v>23.953774097305011</v>
      </c>
      <c r="R31" s="202">
        <f t="shared" ref="R31:R39" si="12">(Q31/M31)^0.25-1</f>
        <v>1.0374461532758339E-2</v>
      </c>
    </row>
    <row r="32" spans="1:18" x14ac:dyDescent="0.2">
      <c r="A32" s="7" t="s">
        <v>17</v>
      </c>
      <c r="J32" s="198">
        <v>4.8419999999999996</v>
      </c>
      <c r="K32" s="198">
        <v>4.875</v>
      </c>
      <c r="L32" s="199">
        <v>5.1630000000000003</v>
      </c>
      <c r="M32" s="199">
        <v>5.327</v>
      </c>
      <c r="N32" s="199">
        <v>5.4909999999999997</v>
      </c>
      <c r="O32" s="199">
        <v>5.5949999999999998</v>
      </c>
      <c r="P32" s="199">
        <v>5.6840000000000002</v>
      </c>
      <c r="Q32" s="198">
        <v>5.9052354225158226</v>
      </c>
      <c r="R32" s="202">
        <f t="shared" si="12"/>
        <v>2.6097500862162448E-2</v>
      </c>
    </row>
    <row r="33" spans="1:18" x14ac:dyDescent="0.2">
      <c r="A33" s="7" t="s">
        <v>18</v>
      </c>
      <c r="J33" s="198">
        <v>35.909999999999997</v>
      </c>
      <c r="K33" s="198">
        <v>35.869</v>
      </c>
      <c r="L33" s="199">
        <v>37.79</v>
      </c>
      <c r="M33" s="199">
        <v>41.542999999999999</v>
      </c>
      <c r="N33" s="199">
        <v>41.165999999999997</v>
      </c>
      <c r="O33" s="199">
        <v>41.103000000000002</v>
      </c>
      <c r="P33" s="199">
        <v>41.829000000000001</v>
      </c>
      <c r="Q33" s="198">
        <v>41.789791277758617</v>
      </c>
      <c r="R33" s="202">
        <f t="shared" si="12"/>
        <v>1.4818584962674741E-3</v>
      </c>
    </row>
    <row r="34" spans="1:18" x14ac:dyDescent="0.2">
      <c r="A34" s="7" t="s">
        <v>19</v>
      </c>
      <c r="J34" s="198">
        <v>4.5629999999999997</v>
      </c>
      <c r="K34" s="198">
        <v>4.3360000000000003</v>
      </c>
      <c r="L34" s="199">
        <v>4.1879999999999997</v>
      </c>
      <c r="M34" s="199">
        <v>4.2149999999999999</v>
      </c>
      <c r="N34" s="199">
        <v>4.1280000000000001</v>
      </c>
      <c r="O34" s="199">
        <v>4.1779999999999999</v>
      </c>
      <c r="P34" s="199">
        <v>4.1580000000000004</v>
      </c>
      <c r="Q34" s="198">
        <v>4.4115048236214829</v>
      </c>
      <c r="R34" s="202">
        <f t="shared" si="12"/>
        <v>1.1456698395107878E-2</v>
      </c>
    </row>
    <row r="35" spans="1:18" x14ac:dyDescent="0.2">
      <c r="A35" s="7" t="s">
        <v>20</v>
      </c>
      <c r="J35" s="198">
        <v>4.1100000000000003</v>
      </c>
      <c r="K35" s="198">
        <v>4.7249999999999996</v>
      </c>
      <c r="L35" s="199">
        <v>5.24</v>
      </c>
      <c r="M35" s="199">
        <v>4.5979999999999999</v>
      </c>
      <c r="N35" s="199">
        <v>5.0510000000000002</v>
      </c>
      <c r="O35" s="199">
        <v>5.6230000000000002</v>
      </c>
      <c r="P35" s="199">
        <v>5.9509999999999996</v>
      </c>
      <c r="Q35" s="198">
        <v>6.190066715755818</v>
      </c>
      <c r="R35" s="202">
        <f t="shared" si="12"/>
        <v>7.7163405570053412E-2</v>
      </c>
    </row>
    <row r="36" spans="1:18" ht="15" x14ac:dyDescent="0.25">
      <c r="A36" s="6" t="s">
        <v>170</v>
      </c>
      <c r="J36" s="200">
        <f t="shared" ref="J36:Q36" si="13">SUM(J30:J35)</f>
        <v>94.271999999999991</v>
      </c>
      <c r="K36" s="200">
        <f t="shared" si="13"/>
        <v>95.88</v>
      </c>
      <c r="L36" s="200">
        <f t="shared" si="13"/>
        <v>100.16499999999999</v>
      </c>
      <c r="M36" s="200">
        <f t="shared" si="13"/>
        <v>105.16199999999999</v>
      </c>
      <c r="N36" s="200">
        <f t="shared" si="13"/>
        <v>106.66200000000001</v>
      </c>
      <c r="O36" s="200">
        <f t="shared" si="13"/>
        <v>108.33</v>
      </c>
      <c r="P36" s="200">
        <f t="shared" si="13"/>
        <v>110.73</v>
      </c>
      <c r="Q36" s="200">
        <f t="shared" si="13"/>
        <v>113.06648643772073</v>
      </c>
      <c r="R36" s="203">
        <f t="shared" si="12"/>
        <v>1.8283636595606501E-2</v>
      </c>
    </row>
    <row r="37" spans="1:18" x14ac:dyDescent="0.2">
      <c r="A37" s="7" t="s">
        <v>21</v>
      </c>
      <c r="J37" s="198">
        <v>0</v>
      </c>
      <c r="K37" s="198">
        <v>0</v>
      </c>
      <c r="L37" s="199">
        <v>0</v>
      </c>
      <c r="M37" s="199">
        <v>0.49199999999999999</v>
      </c>
      <c r="N37" s="199">
        <v>2.0339999999999998</v>
      </c>
      <c r="O37" s="199">
        <v>3.746</v>
      </c>
      <c r="P37" s="199">
        <v>5.4950000000000001</v>
      </c>
      <c r="Q37" s="198">
        <v>7.4950000000000001</v>
      </c>
      <c r="R37" s="202"/>
    </row>
    <row r="38" spans="1:18" x14ac:dyDescent="0.2">
      <c r="A38" s="7" t="s">
        <v>22</v>
      </c>
      <c r="J38" s="198">
        <v>0</v>
      </c>
      <c r="K38" s="198">
        <v>0</v>
      </c>
      <c r="L38" s="199">
        <v>0</v>
      </c>
      <c r="M38" s="199">
        <v>-1.175</v>
      </c>
      <c r="N38" s="199">
        <v>-0.56999999999999995</v>
      </c>
      <c r="O38" s="199">
        <v>-0.52500000000000002</v>
      </c>
      <c r="P38" s="199">
        <v>-0.5</v>
      </c>
      <c r="Q38" s="198">
        <v>-0.52</v>
      </c>
      <c r="R38" s="202"/>
    </row>
    <row r="39" spans="1:18" ht="15" x14ac:dyDescent="0.25">
      <c r="A39" s="11" t="s">
        <v>23</v>
      </c>
      <c r="J39" s="200">
        <f t="shared" ref="J39:Q39" si="14">SUM(J37:J38)+J36</f>
        <v>94.271999999999991</v>
      </c>
      <c r="K39" s="200">
        <f t="shared" si="14"/>
        <v>95.88</v>
      </c>
      <c r="L39" s="200">
        <f t="shared" si="14"/>
        <v>100.16499999999999</v>
      </c>
      <c r="M39" s="200">
        <f t="shared" si="14"/>
        <v>104.47899999999998</v>
      </c>
      <c r="N39" s="200">
        <f t="shared" si="14"/>
        <v>108.126</v>
      </c>
      <c r="O39" s="200">
        <f t="shared" si="14"/>
        <v>111.551</v>
      </c>
      <c r="P39" s="200">
        <f t="shared" si="14"/>
        <v>115.72500000000001</v>
      </c>
      <c r="Q39" s="200">
        <f t="shared" si="14"/>
        <v>120.04148643772072</v>
      </c>
      <c r="R39" s="203">
        <f t="shared" si="12"/>
        <v>3.532234975841364E-2</v>
      </c>
    </row>
    <row r="40" spans="1:18" x14ac:dyDescent="0.2">
      <c r="J40" s="190"/>
      <c r="K40" s="190"/>
      <c r="L40" s="190"/>
      <c r="M40" s="190"/>
      <c r="N40" s="190"/>
      <c r="O40" s="190"/>
      <c r="P40" s="190"/>
      <c r="Q40" s="190"/>
    </row>
    <row r="41" spans="1:18" ht="15" x14ac:dyDescent="0.25">
      <c r="A41" s="6" t="s">
        <v>166</v>
      </c>
      <c r="J41" s="190"/>
      <c r="K41" s="190"/>
      <c r="L41" s="190"/>
      <c r="M41" s="190"/>
      <c r="N41" s="190"/>
      <c r="O41" s="190"/>
      <c r="P41" s="190"/>
      <c r="Q41" s="190"/>
      <c r="R41" s="7" t="s">
        <v>173</v>
      </c>
    </row>
    <row r="42" spans="1:18" x14ac:dyDescent="0.2">
      <c r="A42" s="187" t="s">
        <v>15</v>
      </c>
      <c r="J42" s="190"/>
      <c r="K42" s="190"/>
      <c r="L42" s="190"/>
      <c r="M42" s="198">
        <f>TREND(M30,$M30:$Q30)</f>
        <v>26.494</v>
      </c>
      <c r="N42" s="198">
        <f t="shared" ref="N42:Q42" si="15">TREND(N30,$M30:$Q30)</f>
        <v>27.646000000000001</v>
      </c>
      <c r="O42" s="198">
        <f t="shared" si="15"/>
        <v>28.498000000000001</v>
      </c>
      <c r="P42" s="198">
        <f t="shared" si="15"/>
        <v>29.471</v>
      </c>
      <c r="Q42" s="198">
        <f t="shared" si="15"/>
        <v>30.816114100763969</v>
      </c>
      <c r="R42" s="196">
        <f>(Q42/M42)^(1/4)-1</f>
        <v>3.8502593308435307E-2</v>
      </c>
    </row>
    <row r="43" spans="1:18" x14ac:dyDescent="0.2">
      <c r="A43" s="187" t="s">
        <v>16</v>
      </c>
      <c r="J43" s="190"/>
      <c r="K43" s="190"/>
      <c r="L43" s="190"/>
      <c r="M43" s="198">
        <f t="shared" ref="M43:Q43" si="16">TREND(M31,$M31:$Q31)</f>
        <v>22.984999999999999</v>
      </c>
      <c r="N43" s="198">
        <f t="shared" si="16"/>
        <v>23.18</v>
      </c>
      <c r="O43" s="198">
        <f t="shared" si="16"/>
        <v>23.332999999999998</v>
      </c>
      <c r="P43" s="198">
        <f t="shared" si="16"/>
        <v>23.637</v>
      </c>
      <c r="Q43" s="198">
        <f t="shared" si="16"/>
        <v>23.953774097305011</v>
      </c>
      <c r="R43" s="196">
        <f t="shared" ref="R43:R48" si="17">(Q43/M43)^(1/4)-1</f>
        <v>1.0374461532758339E-2</v>
      </c>
    </row>
    <row r="44" spans="1:18" x14ac:dyDescent="0.2">
      <c r="A44" s="187" t="s">
        <v>17</v>
      </c>
      <c r="J44" s="190"/>
      <c r="K44" s="190"/>
      <c r="L44" s="190"/>
      <c r="M44" s="198">
        <f t="shared" ref="M44:Q44" si="18">TREND(M32,$M32:$Q32)</f>
        <v>5.327</v>
      </c>
      <c r="N44" s="198">
        <f t="shared" si="18"/>
        <v>5.4909999999999997</v>
      </c>
      <c r="O44" s="198">
        <f t="shared" si="18"/>
        <v>5.5949999999999998</v>
      </c>
      <c r="P44" s="198">
        <f t="shared" si="18"/>
        <v>5.6840000000000002</v>
      </c>
      <c r="Q44" s="198">
        <f t="shared" si="18"/>
        <v>5.9052354225158226</v>
      </c>
      <c r="R44" s="196">
        <f t="shared" si="17"/>
        <v>2.6097500862162448E-2</v>
      </c>
    </row>
    <row r="45" spans="1:18" x14ac:dyDescent="0.2">
      <c r="A45" s="187" t="s">
        <v>18</v>
      </c>
      <c r="J45" s="190"/>
      <c r="K45" s="190"/>
      <c r="L45" s="190"/>
      <c r="M45" s="198">
        <f t="shared" ref="M45:Q45" si="19">TREND(M33,$M33:$Q33)</f>
        <v>41.542999999999999</v>
      </c>
      <c r="N45" s="198">
        <f t="shared" si="19"/>
        <v>41.165999999999997</v>
      </c>
      <c r="O45" s="198">
        <f t="shared" si="19"/>
        <v>41.103000000000002</v>
      </c>
      <c r="P45" s="198">
        <f t="shared" si="19"/>
        <v>41.829000000000001</v>
      </c>
      <c r="Q45" s="198">
        <f t="shared" si="19"/>
        <v>41.789791277758617</v>
      </c>
      <c r="R45" s="196">
        <f t="shared" si="17"/>
        <v>1.4818584962674741E-3</v>
      </c>
    </row>
    <row r="46" spans="1:18" x14ac:dyDescent="0.2">
      <c r="A46" s="187" t="s">
        <v>19</v>
      </c>
      <c r="J46" s="190"/>
      <c r="K46" s="190"/>
      <c r="L46" s="190"/>
      <c r="M46" s="198">
        <f t="shared" ref="M46:Q46" si="20">TREND(M34,$M34:$Q34)</f>
        <v>4.2149999999999999</v>
      </c>
      <c r="N46" s="198">
        <f t="shared" si="20"/>
        <v>4.1280000000000001</v>
      </c>
      <c r="O46" s="198">
        <f t="shared" si="20"/>
        <v>4.1779999999999999</v>
      </c>
      <c r="P46" s="198">
        <f t="shared" si="20"/>
        <v>4.1580000000000004</v>
      </c>
      <c r="Q46" s="198">
        <f t="shared" si="20"/>
        <v>4.4115048236214829</v>
      </c>
      <c r="R46" s="196">
        <f t="shared" si="17"/>
        <v>1.1456698395107878E-2</v>
      </c>
    </row>
    <row r="47" spans="1:18" x14ac:dyDescent="0.2">
      <c r="A47" s="187" t="s">
        <v>20</v>
      </c>
      <c r="J47" s="190"/>
      <c r="K47" s="190"/>
      <c r="L47" s="190"/>
      <c r="M47" s="198">
        <f t="shared" ref="M47:Q47" si="21">TREND(M35,$M35:$Q35)</f>
        <v>4.5979999999999999</v>
      </c>
      <c r="N47" s="198">
        <f t="shared" si="21"/>
        <v>5.0510000000000002</v>
      </c>
      <c r="O47" s="198">
        <f t="shared" si="21"/>
        <v>5.6230000000000002</v>
      </c>
      <c r="P47" s="198">
        <f t="shared" si="21"/>
        <v>5.9509999999999996</v>
      </c>
      <c r="Q47" s="198">
        <f t="shared" si="21"/>
        <v>6.190066715755818</v>
      </c>
      <c r="R47" s="196">
        <f t="shared" si="17"/>
        <v>7.7163405570053412E-2</v>
      </c>
    </row>
    <row r="48" spans="1:18" x14ac:dyDescent="0.2">
      <c r="A48" s="186" t="s">
        <v>23</v>
      </c>
      <c r="J48" s="190"/>
      <c r="K48" s="190"/>
      <c r="L48" s="190"/>
      <c r="M48" s="200">
        <f t="shared" ref="M48:Q48" si="22">TREND(M36,$M36:$Q36)</f>
        <v>105.16199999999999</v>
      </c>
      <c r="N48" s="200">
        <f t="shared" si="22"/>
        <v>106.66200000000001</v>
      </c>
      <c r="O48" s="200">
        <f t="shared" si="22"/>
        <v>108.33</v>
      </c>
      <c r="P48" s="200">
        <f t="shared" si="22"/>
        <v>110.73</v>
      </c>
      <c r="Q48" s="200">
        <f t="shared" si="22"/>
        <v>113.06648643772073</v>
      </c>
      <c r="R48" s="197">
        <f t="shared" si="17"/>
        <v>1.8283636595606501E-2</v>
      </c>
    </row>
    <row r="49" spans="1:18" x14ac:dyDescent="0.2">
      <c r="J49" s="190"/>
      <c r="K49" s="190"/>
      <c r="L49" s="190"/>
      <c r="M49" s="190"/>
      <c r="N49" s="190"/>
      <c r="O49" s="190"/>
      <c r="P49" s="190"/>
      <c r="Q49" s="190"/>
      <c r="R49" s="190"/>
    </row>
    <row r="50" spans="1:18" x14ac:dyDescent="0.2">
      <c r="A50" s="187" t="s">
        <v>171</v>
      </c>
      <c r="J50" s="190"/>
      <c r="K50" s="190"/>
      <c r="L50" s="190"/>
      <c r="M50" s="201">
        <f>M43+M45</f>
        <v>64.527999999999992</v>
      </c>
      <c r="N50" s="201">
        <f t="shared" ref="N50:Q50" si="23">N43+N45</f>
        <v>64.346000000000004</v>
      </c>
      <c r="O50" s="201">
        <f t="shared" si="23"/>
        <v>64.436000000000007</v>
      </c>
      <c r="P50" s="201">
        <f t="shared" si="23"/>
        <v>65.466000000000008</v>
      </c>
      <c r="Q50" s="201">
        <f t="shared" si="23"/>
        <v>65.743565375063625</v>
      </c>
      <c r="R50" s="196">
        <f t="shared" ref="R50:R51" si="24">(Q50/M50)^(1/4)-1</f>
        <v>4.6765418287404437E-3</v>
      </c>
    </row>
    <row r="51" spans="1:18" x14ac:dyDescent="0.2">
      <c r="A51" s="187" t="s">
        <v>172</v>
      </c>
      <c r="J51" s="190"/>
      <c r="K51" s="190"/>
      <c r="L51" s="190"/>
      <c r="M51" s="201">
        <f>M42+M44</f>
        <v>31.820999999999998</v>
      </c>
      <c r="N51" s="201">
        <f t="shared" ref="N51:Q51" si="25">N42+N44</f>
        <v>33.137</v>
      </c>
      <c r="O51" s="201">
        <f t="shared" si="25"/>
        <v>34.093000000000004</v>
      </c>
      <c r="P51" s="201">
        <f t="shared" si="25"/>
        <v>35.155000000000001</v>
      </c>
      <c r="Q51" s="201">
        <f t="shared" si="25"/>
        <v>36.721349523279791</v>
      </c>
      <c r="R51" s="196">
        <f t="shared" si="24"/>
        <v>3.6456793370381435E-2</v>
      </c>
    </row>
    <row r="52" spans="1:18" x14ac:dyDescent="0.2">
      <c r="J52" s="190"/>
      <c r="K52" s="190"/>
      <c r="L52" s="190"/>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U70"/>
  <sheetViews>
    <sheetView zoomScaleNormal="100" workbookViewId="0">
      <selection activeCell="T10" sqref="T10"/>
    </sheetView>
  </sheetViews>
  <sheetFormatPr defaultRowHeight="15" x14ac:dyDescent="0.25"/>
  <cols>
    <col min="1" max="1" width="66.85546875" customWidth="1"/>
    <col min="2" max="2" width="9.5703125" customWidth="1"/>
    <col min="7" max="7" width="9.5703125" bestFit="1" customWidth="1"/>
  </cols>
  <sheetData>
    <row r="1" spans="1:21" x14ac:dyDescent="0.25">
      <c r="A1" s="32" t="s">
        <v>122</v>
      </c>
    </row>
    <row r="3" spans="1:21" x14ac:dyDescent="0.25">
      <c r="A3" t="s">
        <v>25</v>
      </c>
    </row>
    <row r="4" spans="1:21" x14ac:dyDescent="0.25">
      <c r="C4" s="1">
        <v>2015</v>
      </c>
      <c r="D4" s="1">
        <v>2016</v>
      </c>
      <c r="E4" s="1">
        <v>2017</v>
      </c>
      <c r="F4" s="1">
        <v>2018</v>
      </c>
      <c r="G4" s="1">
        <v>2019</v>
      </c>
      <c r="H4" s="1">
        <v>2020</v>
      </c>
      <c r="I4" s="1">
        <v>2021</v>
      </c>
      <c r="J4" s="1">
        <v>2022</v>
      </c>
      <c r="K4" s="1">
        <v>2023</v>
      </c>
      <c r="L4" s="1">
        <v>2024</v>
      </c>
      <c r="M4" s="1">
        <v>2025</v>
      </c>
      <c r="N4" s="1">
        <v>2026</v>
      </c>
      <c r="O4" s="1">
        <v>2027</v>
      </c>
      <c r="P4" s="1">
        <v>2028</v>
      </c>
      <c r="Q4" s="1">
        <v>2029</v>
      </c>
      <c r="R4" s="1">
        <v>2030</v>
      </c>
      <c r="S4" s="1">
        <v>2031</v>
      </c>
      <c r="U4" t="s">
        <v>26</v>
      </c>
    </row>
    <row r="5" spans="1:21" x14ac:dyDescent="0.25">
      <c r="A5" s="1" t="s">
        <v>0</v>
      </c>
    </row>
    <row r="6" spans="1:21" x14ac:dyDescent="0.25">
      <c r="A6" t="s">
        <v>35</v>
      </c>
      <c r="C6" s="2"/>
      <c r="D6" s="2">
        <v>2.0545394808892725E-2</v>
      </c>
      <c r="E6" s="2">
        <v>2.1848775567145484E-2</v>
      </c>
      <c r="F6" s="2">
        <v>2.1591648988678713E-2</v>
      </c>
      <c r="G6" s="2">
        <v>1.8606468060609949E-2</v>
      </c>
      <c r="H6" s="2">
        <v>1.5259163571774703E-2</v>
      </c>
      <c r="I6" s="2">
        <v>1.1908548707753264E-2</v>
      </c>
      <c r="J6" s="2">
        <v>9.5326342076356152E-3</v>
      </c>
      <c r="K6" s="2">
        <v>9.4152228752144573E-3</v>
      </c>
      <c r="L6" s="2">
        <v>9.2343425256691258E-3</v>
      </c>
      <c r="M6" s="2">
        <v>9.0710875892077159E-3</v>
      </c>
      <c r="N6" s="2">
        <v>8.8657984263540435E-3</v>
      </c>
      <c r="O6" s="2">
        <v>8.6142802688637943E-3</v>
      </c>
      <c r="P6" s="2">
        <v>8.3760680562545708E-3</v>
      </c>
      <c r="Q6" s="2">
        <v>8.0857032595145206E-3</v>
      </c>
      <c r="R6" s="2">
        <v>7.7852665211453065E-3</v>
      </c>
      <c r="S6" s="2">
        <v>7.516929527872529E-3</v>
      </c>
    </row>
    <row r="7" spans="1:21" x14ac:dyDescent="0.25">
      <c r="A7" t="s">
        <v>33</v>
      </c>
      <c r="C7" s="2"/>
      <c r="D7" s="2">
        <v>4.1666666666666519E-3</v>
      </c>
      <c r="E7" s="2">
        <v>1.7427385892116121E-2</v>
      </c>
      <c r="F7" s="2">
        <v>1.3050570962479524E-2</v>
      </c>
      <c r="G7" s="2">
        <v>1.9323671497584627E-2</v>
      </c>
      <c r="H7" s="2">
        <v>2.0537124802527673E-2</v>
      </c>
      <c r="I7" s="2">
        <v>2.0897832817337481E-2</v>
      </c>
      <c r="J7" s="2">
        <v>2.0000000000000018E-2</v>
      </c>
      <c r="K7" s="2">
        <v>2.0000000000000018E-2</v>
      </c>
      <c r="L7" s="2">
        <v>2.0000000000000018E-2</v>
      </c>
      <c r="M7" s="2">
        <v>2.0000000000000018E-2</v>
      </c>
      <c r="N7" s="2">
        <v>2.0000000000000018E-2</v>
      </c>
      <c r="O7" s="2">
        <v>2.0000000000000018E-2</v>
      </c>
      <c r="P7" s="2">
        <v>2.0000000000000018E-2</v>
      </c>
      <c r="Q7" s="2">
        <v>2.0000000000000018E-2</v>
      </c>
      <c r="R7" s="2">
        <v>2.0000000000000018E-2</v>
      </c>
      <c r="S7" s="2">
        <v>2.0000000000000018E-2</v>
      </c>
    </row>
    <row r="8" spans="1:21" x14ac:dyDescent="0.25">
      <c r="A8" t="s">
        <v>34</v>
      </c>
      <c r="C8" s="28">
        <v>2.4400000000000002E-2</v>
      </c>
      <c r="D8" s="28">
        <v>2.2499999999999999E-2</v>
      </c>
      <c r="E8" s="28">
        <v>1.47E-2</v>
      </c>
      <c r="F8" s="28">
        <v>2.3400000000000001E-2</v>
      </c>
      <c r="G8" s="28">
        <v>2.8799999999999999E-2</v>
      </c>
      <c r="H8" s="28">
        <v>2.7199999999999998E-2</v>
      </c>
      <c r="I8" s="28">
        <v>2.6599999999999999E-2</v>
      </c>
      <c r="J8" s="28">
        <v>3.4789999999999877E-2</v>
      </c>
      <c r="K8" s="28">
        <v>3.5299999999999887E-2</v>
      </c>
      <c r="L8" s="28">
        <v>3.5299999999999887E-2</v>
      </c>
      <c r="M8" s="28">
        <v>3.5299999999999887E-2</v>
      </c>
      <c r="N8" s="28">
        <v>3.5299999999999887E-2</v>
      </c>
      <c r="O8" s="28">
        <v>3.5299999999999887E-2</v>
      </c>
      <c r="P8" s="28">
        <v>3.5299999999999887E-2</v>
      </c>
      <c r="Q8" s="28">
        <v>3.5299999999999887E-2</v>
      </c>
      <c r="R8" s="28">
        <v>3.5299999999999887E-2</v>
      </c>
      <c r="S8" s="28">
        <v>3.5299999999999887E-2</v>
      </c>
    </row>
    <row r="9" spans="1:21" x14ac:dyDescent="0.25">
      <c r="A9" s="1" t="s">
        <v>32</v>
      </c>
      <c r="C9" s="3"/>
      <c r="D9" s="3"/>
      <c r="E9" s="4"/>
      <c r="F9" s="4"/>
      <c r="G9" s="4"/>
      <c r="H9" s="4"/>
      <c r="I9" s="4"/>
      <c r="J9" s="5"/>
      <c r="K9" s="5"/>
      <c r="L9" s="5"/>
      <c r="M9" s="5"/>
      <c r="N9" s="5"/>
      <c r="O9" s="5"/>
      <c r="P9" s="5"/>
      <c r="Q9" s="5"/>
      <c r="R9" s="5"/>
      <c r="S9" s="5"/>
    </row>
    <row r="10" spans="1:21" x14ac:dyDescent="0.25">
      <c r="A10" t="s">
        <v>1</v>
      </c>
      <c r="C10" s="3"/>
      <c r="D10" s="3"/>
      <c r="E10" s="4"/>
      <c r="F10" s="4"/>
      <c r="G10" s="28">
        <f>G6</f>
        <v>1.8606468060609949E-2</v>
      </c>
      <c r="H10" s="28">
        <f>(1+G10)*(1+H6)-1</f>
        <v>3.4149550772014425E-2</v>
      </c>
      <c r="I10" s="28">
        <f t="shared" ref="I10:S10" si="0">(1+H10)*(1+I6)-1</f>
        <v>4.6464771068484012E-2</v>
      </c>
      <c r="J10" s="28">
        <f t="shared" si="0"/>
        <v>5.644033694225703E-2</v>
      </c>
      <c r="K10" s="28">
        <f t="shared" si="0"/>
        <v>6.638695816893514E-2</v>
      </c>
      <c r="L10" s="28">
        <f t="shared" si="0"/>
        <v>7.6234340605573436E-2</v>
      </c>
      <c r="M10" s="28">
        <f t="shared" si="0"/>
        <v>8.5996956575719707E-2</v>
      </c>
      <c r="N10" s="28">
        <f t="shared" si="0"/>
        <v>9.5625186684354047E-2</v>
      </c>
      <c r="O10" s="28">
        <f t="shared" si="0"/>
        <v>0.10506320911207934</v>
      </c>
      <c r="P10" s="28">
        <f t="shared" si="0"/>
        <v>0.11431929375806527</v>
      </c>
      <c r="Q10" s="28">
        <f t="shared" si="0"/>
        <v>0.12332934890374481</v>
      </c>
      <c r="R10" s="28">
        <f t="shared" si="0"/>
        <v>0.13207476727598499</v>
      </c>
      <c r="S10" s="28">
        <f t="shared" si="0"/>
        <v>0.14058449352188118</v>
      </c>
    </row>
    <row r="11" spans="1:21" x14ac:dyDescent="0.25">
      <c r="A11" t="s">
        <v>33</v>
      </c>
      <c r="C11" s="3"/>
      <c r="D11" s="3"/>
      <c r="E11" s="4"/>
      <c r="F11" s="4"/>
      <c r="G11" s="28">
        <f t="shared" ref="G11:G12" si="1">G7</f>
        <v>1.9323671497584627E-2</v>
      </c>
      <c r="H11" s="28">
        <f t="shared" ref="H11:S11" si="2">(1+G11)*(1+H7)-1</f>
        <v>4.0257648953301306E-2</v>
      </c>
      <c r="I11" s="28">
        <f t="shared" si="2"/>
        <v>6.1996779388084011E-2</v>
      </c>
      <c r="J11" s="28">
        <f t="shared" si="2"/>
        <v>8.3236714975845727E-2</v>
      </c>
      <c r="K11" s="28">
        <f t="shared" si="2"/>
        <v>0.1049014492753626</v>
      </c>
      <c r="L11" s="28">
        <f t="shared" si="2"/>
        <v>0.12699947826086988</v>
      </c>
      <c r="M11" s="28">
        <f t="shared" si="2"/>
        <v>0.14953946782608729</v>
      </c>
      <c r="N11" s="28">
        <f t="shared" si="2"/>
        <v>0.17253025718260906</v>
      </c>
      <c r="O11" s="28">
        <f t="shared" si="2"/>
        <v>0.19598086232626133</v>
      </c>
      <c r="P11" s="28">
        <f t="shared" si="2"/>
        <v>0.21990047957278658</v>
      </c>
      <c r="Q11" s="28">
        <f t="shared" si="2"/>
        <v>0.24429848916424235</v>
      </c>
      <c r="R11" s="28">
        <f t="shared" si="2"/>
        <v>0.26918445894752718</v>
      </c>
      <c r="S11" s="28">
        <f t="shared" si="2"/>
        <v>0.29456814812647769</v>
      </c>
    </row>
    <row r="12" spans="1:21" x14ac:dyDescent="0.25">
      <c r="A12" t="s">
        <v>34</v>
      </c>
      <c r="C12" s="3"/>
      <c r="D12" s="3"/>
      <c r="E12" s="4"/>
      <c r="F12" s="4"/>
      <c r="G12" s="28">
        <f t="shared" si="1"/>
        <v>2.8799999999999999E-2</v>
      </c>
      <c r="H12" s="28">
        <f t="shared" ref="H12:R12" si="3">(1+G12)*(1+H8)-1</f>
        <v>5.6783359999999838E-2</v>
      </c>
      <c r="I12" s="28">
        <f t="shared" si="3"/>
        <v>8.489379737599978E-2</v>
      </c>
      <c r="J12" s="28">
        <f t="shared" si="3"/>
        <v>0.12263725258671077</v>
      </c>
      <c r="K12" s="28">
        <f t="shared" si="3"/>
        <v>0.1622663476030215</v>
      </c>
      <c r="L12" s="28">
        <f t="shared" si="3"/>
        <v>0.20329434967340809</v>
      </c>
      <c r="M12" s="28">
        <f t="shared" si="3"/>
        <v>0.24577064021687933</v>
      </c>
      <c r="N12" s="28">
        <f t="shared" si="3"/>
        <v>0.28974634381653508</v>
      </c>
      <c r="O12" s="28">
        <f t="shared" si="3"/>
        <v>0.33527438975325863</v>
      </c>
      <c r="P12" s="28">
        <f t="shared" si="3"/>
        <v>0.38240957571154843</v>
      </c>
      <c r="Q12" s="28">
        <f t="shared" si="3"/>
        <v>0.43120863373416585</v>
      </c>
      <c r="R12" s="28">
        <f t="shared" si="3"/>
        <v>0.48173029850498184</v>
      </c>
      <c r="S12" s="28">
        <f>(1+R12)*(1+S8)-1</f>
        <v>0.53403537804220758</v>
      </c>
    </row>
    <row r="14" spans="1:21" x14ac:dyDescent="0.25">
      <c r="A14" s="6" t="s">
        <v>2</v>
      </c>
      <c r="B14" s="7"/>
      <c r="C14" s="7"/>
      <c r="D14" s="7"/>
      <c r="E14" s="7"/>
      <c r="F14" s="7"/>
      <c r="G14" s="7"/>
      <c r="H14" s="7"/>
      <c r="I14" s="7"/>
      <c r="J14" s="7"/>
      <c r="K14" s="7"/>
      <c r="L14" s="7"/>
      <c r="M14" s="7"/>
      <c r="N14" s="7"/>
      <c r="O14" s="7"/>
      <c r="P14" s="7"/>
      <c r="Q14" s="7"/>
      <c r="R14" s="7"/>
      <c r="S14" s="7"/>
    </row>
    <row r="15" spans="1:21" x14ac:dyDescent="0.25">
      <c r="A15" s="12" t="s">
        <v>3</v>
      </c>
      <c r="B15" s="12"/>
      <c r="C15" s="12">
        <v>23.722999999999999</v>
      </c>
      <c r="D15" s="12">
        <v>24.312000000000001</v>
      </c>
      <c r="E15" s="12">
        <v>25.379000000000001</v>
      </c>
      <c r="F15" s="12">
        <v>26.494</v>
      </c>
      <c r="G15" s="12">
        <v>27.646000000000001</v>
      </c>
      <c r="H15" s="12">
        <v>28.498000000000001</v>
      </c>
      <c r="I15" s="12">
        <v>29.471</v>
      </c>
      <c r="J15" s="10">
        <v>30.816114100763969</v>
      </c>
      <c r="K15" s="10">
        <v>32.406834186018116</v>
      </c>
      <c r="L15" s="10">
        <v>34.127520653997721</v>
      </c>
      <c r="M15" s="10">
        <v>35.939083599751754</v>
      </c>
      <c r="N15" s="10">
        <v>37.871092159947054</v>
      </c>
      <c r="O15" s="10">
        <v>39.901614631739051</v>
      </c>
      <c r="P15" s="10">
        <v>42.014076392276316</v>
      </c>
      <c r="Q15" s="10">
        <v>44.180343719805514</v>
      </c>
      <c r="R15" s="10">
        <v>46.368714833000674</v>
      </c>
      <c r="S15" s="10">
        <v>48.621555198314354</v>
      </c>
      <c r="U15" s="15">
        <f>S15/F15-1</f>
        <v>0.83519118284571436</v>
      </c>
    </row>
    <row r="16" spans="1:21" x14ac:dyDescent="0.25">
      <c r="A16" s="12" t="s">
        <v>4</v>
      </c>
      <c r="B16" s="12"/>
      <c r="C16" s="12">
        <v>6.5519999999999996</v>
      </c>
      <c r="D16" s="12">
        <v>6.6660000000000004</v>
      </c>
      <c r="E16" s="12">
        <v>6.9089999999999998</v>
      </c>
      <c r="F16" s="12">
        <v>7.1740000000000004</v>
      </c>
      <c r="G16" s="12">
        <v>7.1669999999999998</v>
      </c>
      <c r="H16" s="12">
        <v>7.141</v>
      </c>
      <c r="I16" s="12">
        <v>7.1509999999999998</v>
      </c>
      <c r="J16" s="10">
        <v>7.0949248194873169</v>
      </c>
      <c r="K16" s="10">
        <v>7.090999585842459</v>
      </c>
      <c r="L16" s="10">
        <v>7.0926818288331139</v>
      </c>
      <c r="M16" s="10">
        <v>7.0938033241602163</v>
      </c>
      <c r="N16" s="10">
        <v>7.0949248194873196</v>
      </c>
      <c r="O16" s="10">
        <v>7.095485567150873</v>
      </c>
      <c r="P16" s="10">
        <v>7.0926818288331166</v>
      </c>
      <c r="Q16" s="10">
        <v>7.0837098662162914</v>
      </c>
      <c r="R16" s="10">
        <v>7.0752986512630267</v>
      </c>
      <c r="S16" s="10">
        <v>7.0657659409826525</v>
      </c>
      <c r="U16" s="15">
        <f>S16/F16-1</f>
        <v>-1.5086988990430372E-2</v>
      </c>
    </row>
    <row r="17" spans="1:21" x14ac:dyDescent="0.25">
      <c r="A17" s="12" t="s">
        <v>5</v>
      </c>
      <c r="B17" s="12"/>
      <c r="C17" s="12">
        <v>1.4410000000000001</v>
      </c>
      <c r="D17" s="12">
        <v>1.5289999999999999</v>
      </c>
      <c r="E17" s="12">
        <v>1.629</v>
      </c>
      <c r="F17" s="12">
        <v>1.768</v>
      </c>
      <c r="G17" s="12">
        <v>1.821</v>
      </c>
      <c r="H17" s="12">
        <v>1.8939999999999999</v>
      </c>
      <c r="I17" s="12">
        <v>1.9490000000000001</v>
      </c>
      <c r="J17" s="10">
        <v>2.0624954662766832</v>
      </c>
      <c r="K17" s="10">
        <v>2.1074319222427529</v>
      </c>
      <c r="L17" s="10">
        <v>2.2338955167689032</v>
      </c>
      <c r="M17" s="10">
        <v>2.3973144499676478</v>
      </c>
      <c r="N17" s="10">
        <v>2.5991564365991775</v>
      </c>
      <c r="O17" s="10">
        <v>2.838994782251258</v>
      </c>
      <c r="P17" s="10">
        <v>3.1243009545677469</v>
      </c>
      <c r="Q17" s="10">
        <v>3.4640512698367862</v>
      </c>
      <c r="R17" s="10">
        <v>3.8691105865322664</v>
      </c>
      <c r="S17" s="10">
        <v>4.3524040062771512</v>
      </c>
      <c r="U17" s="15">
        <f t="shared" ref="U17:U25" si="4">S17/F17-1</f>
        <v>1.4617669718762167</v>
      </c>
    </row>
    <row r="18" spans="1:21" x14ac:dyDescent="0.25">
      <c r="A18" s="12" t="s">
        <v>6</v>
      </c>
      <c r="B18" s="12"/>
      <c r="C18" s="12">
        <v>36.857999999999997</v>
      </c>
      <c r="D18" s="12">
        <v>37.832000000000001</v>
      </c>
      <c r="E18" s="12">
        <v>39.380000000000003</v>
      </c>
      <c r="F18" s="12">
        <v>42.786999999999999</v>
      </c>
      <c r="G18" s="12">
        <v>42.177999999999997</v>
      </c>
      <c r="H18" s="12">
        <v>41.945</v>
      </c>
      <c r="I18" s="12">
        <v>42.473999999999997</v>
      </c>
      <c r="J18" s="10">
        <v>41.776344683047604</v>
      </c>
      <c r="K18" s="10">
        <v>42.052354878192574</v>
      </c>
      <c r="L18" s="10">
        <v>42.175428351615345</v>
      </c>
      <c r="M18" s="10">
        <v>42.23795022763521</v>
      </c>
      <c r="N18" s="10">
        <v>42.265970423380416</v>
      </c>
      <c r="O18" s="10">
        <v>42.26508233858776</v>
      </c>
      <c r="P18" s="10">
        <v>42.219601670994109</v>
      </c>
      <c r="Q18" s="10">
        <v>42.119862965261092</v>
      </c>
      <c r="R18" s="10">
        <v>41.961507412907011</v>
      </c>
      <c r="S18" s="10">
        <v>41.73253932449007</v>
      </c>
      <c r="U18" s="15">
        <f>S18/F18-1</f>
        <v>-2.464441712459231E-2</v>
      </c>
    </row>
    <row r="19" spans="1:21" x14ac:dyDescent="0.25">
      <c r="A19" s="12" t="s">
        <v>7</v>
      </c>
      <c r="B19" s="12"/>
      <c r="C19" s="12">
        <v>3.7829999999999999</v>
      </c>
      <c r="D19" s="12">
        <v>3.59</v>
      </c>
      <c r="E19" s="12">
        <v>3.54</v>
      </c>
      <c r="F19" s="12">
        <v>3.4449999999999998</v>
      </c>
      <c r="G19" s="12">
        <v>3.3929999999999998</v>
      </c>
      <c r="H19" s="12">
        <v>3.4220000000000002</v>
      </c>
      <c r="I19" s="12">
        <v>3.4239999999999999</v>
      </c>
      <c r="J19" s="10">
        <v>3.4531588711760777</v>
      </c>
      <c r="K19" s="10">
        <v>3.567947858792123</v>
      </c>
      <c r="L19" s="10">
        <v>3.6732939070400086</v>
      </c>
      <c r="M19" s="10">
        <v>3.7581684292462278</v>
      </c>
      <c r="N19" s="10">
        <v>3.8212596628725728</v>
      </c>
      <c r="O19" s="10">
        <v>3.8636015667847383</v>
      </c>
      <c r="P19" s="10">
        <v>3.8998048919960762</v>
      </c>
      <c r="Q19" s="10">
        <v>3.8063473280988616</v>
      </c>
      <c r="R19" s="10">
        <v>3.7611955511959105</v>
      </c>
      <c r="S19" s="10">
        <v>3.7872944973382001</v>
      </c>
      <c r="U19" s="15">
        <f t="shared" si="4"/>
        <v>9.9359796034310666E-2</v>
      </c>
    </row>
    <row r="20" spans="1:21" x14ac:dyDescent="0.25">
      <c r="A20" s="12" t="s">
        <v>8</v>
      </c>
      <c r="B20" s="12"/>
      <c r="C20" s="12">
        <v>6.0000000000000001E-3</v>
      </c>
      <c r="D20" s="12">
        <v>0</v>
      </c>
      <c r="E20" s="12">
        <v>3.0000000000000001E-3</v>
      </c>
      <c r="F20" s="12">
        <v>0</v>
      </c>
      <c r="G20" s="12">
        <v>4.0000000000000001E-3</v>
      </c>
      <c r="H20" s="12">
        <v>0</v>
      </c>
      <c r="I20" s="12">
        <v>0</v>
      </c>
      <c r="J20" s="12">
        <v>0</v>
      </c>
      <c r="K20" s="12">
        <v>0</v>
      </c>
      <c r="L20" s="12">
        <v>0</v>
      </c>
      <c r="M20" s="12">
        <v>0</v>
      </c>
      <c r="N20" s="12">
        <v>0</v>
      </c>
      <c r="O20" s="12">
        <v>0</v>
      </c>
      <c r="P20" s="12">
        <v>0</v>
      </c>
      <c r="Q20" s="12">
        <v>0</v>
      </c>
      <c r="R20" s="12">
        <v>0</v>
      </c>
      <c r="S20" s="12">
        <v>0</v>
      </c>
      <c r="U20" s="15"/>
    </row>
    <row r="21" spans="1:21" x14ac:dyDescent="0.25">
      <c r="A21" s="12" t="s">
        <v>9</v>
      </c>
      <c r="B21" s="12"/>
      <c r="C21" s="12">
        <v>0</v>
      </c>
      <c r="D21" s="12">
        <v>0</v>
      </c>
      <c r="E21" s="12">
        <v>0</v>
      </c>
      <c r="F21" s="12">
        <v>0.49199999999999999</v>
      </c>
      <c r="G21" s="12">
        <v>2.0339999999999998</v>
      </c>
      <c r="H21" s="12">
        <v>3.746</v>
      </c>
      <c r="I21" s="12">
        <v>5.4950000000000001</v>
      </c>
      <c r="J21" s="10">
        <v>7.4950000000000001</v>
      </c>
      <c r="K21" s="10">
        <v>9.5749999999999993</v>
      </c>
      <c r="L21" s="10">
        <v>11.738199999999999</v>
      </c>
      <c r="M21" s="10">
        <v>13.987928</v>
      </c>
      <c r="N21" s="10">
        <v>16.32764512</v>
      </c>
      <c r="O21" s="10">
        <v>18.760950924799999</v>
      </c>
      <c r="P21" s="10">
        <v>21.291588961792002</v>
      </c>
      <c r="Q21" s="10">
        <v>23.923452520263684</v>
      </c>
      <c r="R21" s="10">
        <v>26.660590621074231</v>
      </c>
      <c r="S21" s="10">
        <v>29.507214245917201</v>
      </c>
      <c r="U21" s="15"/>
    </row>
    <row r="22" spans="1:21" x14ac:dyDescent="0.25">
      <c r="A22" s="12" t="s">
        <v>10</v>
      </c>
      <c r="B22" s="12"/>
      <c r="C22" s="12">
        <v>0</v>
      </c>
      <c r="D22" s="12">
        <v>0</v>
      </c>
      <c r="E22" s="12">
        <v>0</v>
      </c>
      <c r="F22" s="12">
        <v>-1.175</v>
      </c>
      <c r="G22" s="12">
        <v>-0.56999999999999995</v>
      </c>
      <c r="H22" s="12">
        <v>-0.52500000000000002</v>
      </c>
      <c r="I22" s="12">
        <v>-0.5</v>
      </c>
      <c r="J22" s="10">
        <v>-0.52</v>
      </c>
      <c r="K22" s="10">
        <v>-0.54080000000000006</v>
      </c>
      <c r="L22" s="10">
        <v>-0.56243200000000004</v>
      </c>
      <c r="M22" s="10">
        <v>-0.58492928</v>
      </c>
      <c r="N22" s="10">
        <v>-0.60832645119999995</v>
      </c>
      <c r="O22" s="10">
        <v>-0.63265950924799996</v>
      </c>
      <c r="P22" s="10">
        <v>-0.65796588961791991</v>
      </c>
      <c r="Q22" s="10">
        <v>-0.68428452520263672</v>
      </c>
      <c r="R22" s="10">
        <v>-0.71165590621074215</v>
      </c>
      <c r="S22" s="10">
        <v>-0.74012214245917185</v>
      </c>
      <c r="U22" s="15">
        <f>S22/F22-1</f>
        <v>-0.37010881492836445</v>
      </c>
    </row>
    <row r="23" spans="1:21" x14ac:dyDescent="0.25">
      <c r="A23" s="12" t="s">
        <v>11</v>
      </c>
      <c r="B23" s="12"/>
      <c r="C23" s="12">
        <v>3.9220000000000002</v>
      </c>
      <c r="D23" s="12">
        <v>3.6039999999999996</v>
      </c>
      <c r="E23" s="12">
        <v>3.5270000000000001</v>
      </c>
      <c r="F23" s="12">
        <v>3.4609999999999994</v>
      </c>
      <c r="G23" s="12">
        <v>3.3149999999999999</v>
      </c>
      <c r="H23" s="12">
        <v>3.2589999999999999</v>
      </c>
      <c r="I23" s="12">
        <v>3.306</v>
      </c>
      <c r="J23" s="10">
        <v>3.4531588711760781</v>
      </c>
      <c r="K23" s="10">
        <v>3.5679478587921234</v>
      </c>
      <c r="L23" s="10">
        <v>3.6732939070400086</v>
      </c>
      <c r="M23" s="10">
        <v>3.7581684292462278</v>
      </c>
      <c r="N23" s="10">
        <v>4.1011361206429147</v>
      </c>
      <c r="O23" s="10">
        <v>4.4694057406852847</v>
      </c>
      <c r="P23" s="10">
        <v>4.8452953758659376</v>
      </c>
      <c r="Q23" s="10">
        <v>5.0295744030576026</v>
      </c>
      <c r="R23" s="10">
        <v>5.2029150259516346</v>
      </c>
      <c r="S23" s="10">
        <v>5.3618557991745615</v>
      </c>
      <c r="U23" s="15">
        <f t="shared" si="4"/>
        <v>0.54922155422553098</v>
      </c>
    </row>
    <row r="24" spans="1:21" x14ac:dyDescent="0.25">
      <c r="A24" s="12" t="s">
        <v>12</v>
      </c>
      <c r="B24" s="12"/>
      <c r="C24" s="10">
        <v>-3.9220000000000002</v>
      </c>
      <c r="D24" s="10">
        <v>-3.6040000000000001</v>
      </c>
      <c r="E24" s="10">
        <v>-3.5270000000000001</v>
      </c>
      <c r="F24" s="10">
        <v>-3.4609999999999999</v>
      </c>
      <c r="G24" s="10">
        <v>-3.3149999999999999</v>
      </c>
      <c r="H24" s="10">
        <v>-3.2589999999999999</v>
      </c>
      <c r="I24" s="10">
        <v>-3.306</v>
      </c>
      <c r="J24" s="10">
        <v>-3.4531588711760777</v>
      </c>
      <c r="K24" s="10">
        <v>-3.567947858792123</v>
      </c>
      <c r="L24" s="10">
        <v>-3.6732939070400086</v>
      </c>
      <c r="M24" s="10">
        <v>-3.7581684292462278</v>
      </c>
      <c r="N24" s="10">
        <v>-3.8212596628725728</v>
      </c>
      <c r="O24" s="10">
        <v>-3.8636015667847383</v>
      </c>
      <c r="P24" s="10">
        <v>-3.8998048919960762</v>
      </c>
      <c r="Q24" s="10">
        <v>-3.8063473280988616</v>
      </c>
      <c r="R24" s="10">
        <v>-3.7611955511959105</v>
      </c>
      <c r="S24" s="10">
        <v>-3.7872944973382001</v>
      </c>
      <c r="U24" s="15">
        <f t="shared" si="4"/>
        <v>9.4277520178619012E-2</v>
      </c>
    </row>
    <row r="25" spans="1:21" x14ac:dyDescent="0.25">
      <c r="A25" s="13" t="s">
        <v>13</v>
      </c>
      <c r="B25" s="12"/>
      <c r="C25" s="13">
        <f>SUM(C15:C24)</f>
        <v>72.363</v>
      </c>
      <c r="D25" s="13">
        <f t="shared" ref="D25:S25" si="5">SUM(D15:D24)</f>
        <v>73.929000000000002</v>
      </c>
      <c r="E25" s="13">
        <f t="shared" si="5"/>
        <v>76.84</v>
      </c>
      <c r="F25" s="13">
        <f t="shared" si="5"/>
        <v>80.984999999999999</v>
      </c>
      <c r="G25" s="13">
        <f t="shared" si="5"/>
        <v>83.673000000000016</v>
      </c>
      <c r="H25" s="13">
        <f t="shared" si="5"/>
        <v>86.120999999999995</v>
      </c>
      <c r="I25" s="13">
        <f t="shared" si="5"/>
        <v>89.463999999999999</v>
      </c>
      <c r="J25" s="13">
        <f t="shared" si="5"/>
        <v>92.178037940751651</v>
      </c>
      <c r="K25" s="13">
        <f t="shared" si="5"/>
        <v>96.259768431088034</v>
      </c>
      <c r="L25" s="13">
        <f t="shared" si="5"/>
        <v>100.47858825825509</v>
      </c>
      <c r="M25" s="13">
        <f t="shared" si="5"/>
        <v>104.82931875076106</v>
      </c>
      <c r="N25" s="13">
        <f t="shared" si="5"/>
        <v>109.65159862885689</v>
      </c>
      <c r="O25" s="13">
        <f t="shared" si="5"/>
        <v>114.69887447596624</v>
      </c>
      <c r="P25" s="13">
        <f t="shared" si="5"/>
        <v>119.92957929471129</v>
      </c>
      <c r="Q25" s="13">
        <f t="shared" si="5"/>
        <v>125.11671021923831</v>
      </c>
      <c r="R25" s="13">
        <f t="shared" si="5"/>
        <v>130.42648122451808</v>
      </c>
      <c r="S25" s="13">
        <f t="shared" si="5"/>
        <v>135.90121237269679</v>
      </c>
      <c r="U25" s="22">
        <f t="shared" si="4"/>
        <v>0.67810350525031549</v>
      </c>
    </row>
    <row r="26" spans="1:21" x14ac:dyDescent="0.25">
      <c r="A26" s="13" t="s">
        <v>14</v>
      </c>
      <c r="B26" s="12"/>
      <c r="C26" s="10">
        <v>72.363</v>
      </c>
      <c r="D26" s="10">
        <v>73.929000000000002</v>
      </c>
      <c r="E26" s="10">
        <v>76.84</v>
      </c>
      <c r="F26" s="10">
        <v>80.984999999999999</v>
      </c>
      <c r="G26" s="10">
        <v>83.673000000000016</v>
      </c>
      <c r="H26" s="10">
        <v>86.120999999999995</v>
      </c>
      <c r="I26" s="10">
        <v>89.463999999999999</v>
      </c>
      <c r="J26" s="10">
        <v>92.178037940751651</v>
      </c>
      <c r="K26" s="10">
        <v>96.259768431088034</v>
      </c>
      <c r="L26" s="10">
        <v>100.47858825825509</v>
      </c>
      <c r="M26" s="10">
        <v>104.82931875076106</v>
      </c>
      <c r="N26" s="10">
        <v>109.65159862885689</v>
      </c>
      <c r="O26" s="10">
        <v>114.69887447596624</v>
      </c>
      <c r="P26" s="10">
        <v>119.92957929471129</v>
      </c>
      <c r="Q26" s="10">
        <v>125.11671021923833</v>
      </c>
      <c r="R26" s="10">
        <v>130.42648122451808</v>
      </c>
      <c r="S26" s="10">
        <v>135.90121237269679</v>
      </c>
    </row>
    <row r="28" spans="1:21" x14ac:dyDescent="0.25">
      <c r="A28" s="13" t="s">
        <v>24</v>
      </c>
      <c r="C28" s="1">
        <v>2015</v>
      </c>
      <c r="D28" s="1">
        <v>2016</v>
      </c>
      <c r="E28" s="1">
        <v>2017</v>
      </c>
      <c r="F28" s="1">
        <v>2018</v>
      </c>
      <c r="G28" s="1">
        <v>2019</v>
      </c>
      <c r="H28" s="1">
        <v>2020</v>
      </c>
      <c r="I28" s="1">
        <v>2021</v>
      </c>
      <c r="J28" s="1">
        <v>2022</v>
      </c>
      <c r="K28" s="1">
        <v>2023</v>
      </c>
      <c r="L28" s="1">
        <v>2024</v>
      </c>
      <c r="M28" s="1">
        <v>2025</v>
      </c>
      <c r="N28" s="1">
        <v>2026</v>
      </c>
      <c r="O28" s="1">
        <v>2027</v>
      </c>
      <c r="P28" s="1">
        <v>2028</v>
      </c>
      <c r="Q28" s="1">
        <v>2029</v>
      </c>
      <c r="R28" s="1">
        <v>2030</v>
      </c>
      <c r="S28" s="1">
        <v>2031</v>
      </c>
    </row>
    <row r="29" spans="1:21" x14ac:dyDescent="0.25">
      <c r="A29" s="7" t="s">
        <v>15</v>
      </c>
      <c r="D29" s="2">
        <f t="shared" ref="D29:S29" si="6">D15/C15-1</f>
        <v>2.4828225772457246E-2</v>
      </c>
      <c r="E29" s="16">
        <f t="shared" si="6"/>
        <v>4.3887792036854334E-2</v>
      </c>
      <c r="F29" s="16">
        <f t="shared" si="6"/>
        <v>4.3933961148981293E-2</v>
      </c>
      <c r="G29" s="16">
        <f t="shared" si="6"/>
        <v>4.3481542990865929E-2</v>
      </c>
      <c r="H29" s="16">
        <f t="shared" si="6"/>
        <v>3.0818201548144408E-2</v>
      </c>
      <c r="I29" s="16">
        <f t="shared" si="6"/>
        <v>3.4142746859428641E-2</v>
      </c>
      <c r="J29" s="2">
        <f t="shared" si="6"/>
        <v>4.5641956525532601E-2</v>
      </c>
      <c r="K29" s="2">
        <f t="shared" si="6"/>
        <v>5.1619749331558662E-2</v>
      </c>
      <c r="L29" s="2">
        <f t="shared" si="6"/>
        <v>5.3096407322687167E-2</v>
      </c>
      <c r="M29" s="2">
        <f t="shared" si="6"/>
        <v>5.3082172716869325E-2</v>
      </c>
      <c r="N29" s="2">
        <f t="shared" si="6"/>
        <v>5.3757869335562258E-2</v>
      </c>
      <c r="O29" s="2">
        <f t="shared" si="6"/>
        <v>5.361668639542172E-2</v>
      </c>
      <c r="P29" s="2">
        <f t="shared" si="6"/>
        <v>5.2941761380677077E-2</v>
      </c>
      <c r="Q29" s="2">
        <f t="shared" si="6"/>
        <v>5.156051289342245E-2</v>
      </c>
      <c r="R29" s="2">
        <f t="shared" si="6"/>
        <v>4.9532686460611153E-2</v>
      </c>
      <c r="S29" s="2">
        <f t="shared" si="6"/>
        <v>4.8585352719552333E-2</v>
      </c>
    </row>
    <row r="30" spans="1:21" x14ac:dyDescent="0.25">
      <c r="A30" s="27" t="s">
        <v>16</v>
      </c>
      <c r="D30" s="2">
        <f t="shared" ref="D30:S30" si="7">D16/C16-1</f>
        <v>1.7399267399267559E-2</v>
      </c>
      <c r="E30" s="16">
        <f t="shared" si="7"/>
        <v>3.6453645364536325E-2</v>
      </c>
      <c r="F30" s="16">
        <f t="shared" si="7"/>
        <v>3.8355767839050703E-2</v>
      </c>
      <c r="G30" s="16">
        <f t="shared" si="7"/>
        <v>-9.7574574853642737E-4</v>
      </c>
      <c r="H30" s="16">
        <f t="shared" si="7"/>
        <v>-3.6277382447327255E-3</v>
      </c>
      <c r="I30" s="16">
        <f t="shared" si="7"/>
        <v>1.4003640946644857E-3</v>
      </c>
      <c r="J30" s="21">
        <f t="shared" si="7"/>
        <v>-7.841585863890721E-3</v>
      </c>
      <c r="K30" s="21">
        <f t="shared" si="7"/>
        <v>-5.5324527669087242E-4</v>
      </c>
      <c r="L30" s="21">
        <f t="shared" si="7"/>
        <v>2.3723636848238527E-4</v>
      </c>
      <c r="M30" s="21">
        <f t="shared" si="7"/>
        <v>1.5812006715765214E-4</v>
      </c>
      <c r="N30" s="21">
        <f t="shared" si="7"/>
        <v>1.5809506915465121E-4</v>
      </c>
      <c r="O30" s="21">
        <f t="shared" si="7"/>
        <v>7.9035039527663997E-5</v>
      </c>
      <c r="P30" s="21">
        <f t="shared" si="7"/>
        <v>-3.9514396741735514E-4</v>
      </c>
      <c r="Q30" s="21">
        <f t="shared" si="7"/>
        <v>-1.2649605372614392E-3</v>
      </c>
      <c r="R30" s="21">
        <f t="shared" si="7"/>
        <v>-1.1874025210122374E-3</v>
      </c>
      <c r="S30" s="21">
        <f t="shared" si="7"/>
        <v>-1.3473226714850739E-3</v>
      </c>
    </row>
    <row r="31" spans="1:21" x14ac:dyDescent="0.25">
      <c r="A31" s="7" t="s">
        <v>17</v>
      </c>
      <c r="D31" s="2">
        <f t="shared" ref="D31:S31" si="8">D17/C17-1</f>
        <v>6.1068702290076216E-2</v>
      </c>
      <c r="E31" s="16">
        <f t="shared" si="8"/>
        <v>6.5402223675605109E-2</v>
      </c>
      <c r="F31" s="16">
        <f t="shared" si="8"/>
        <v>8.5328422344997046E-2</v>
      </c>
      <c r="G31" s="16">
        <f t="shared" si="8"/>
        <v>2.9977375565610753E-2</v>
      </c>
      <c r="H31" s="16">
        <f t="shared" si="8"/>
        <v>4.0087863811092861E-2</v>
      </c>
      <c r="I31" s="16">
        <f t="shared" si="8"/>
        <v>2.9039070749736107E-2</v>
      </c>
      <c r="J31" s="2">
        <f t="shared" si="8"/>
        <v>5.8232666124516719E-2</v>
      </c>
      <c r="K31" s="2">
        <f t="shared" si="8"/>
        <v>2.1787420482039188E-2</v>
      </c>
      <c r="L31" s="2">
        <f t="shared" si="8"/>
        <v>6.0008388973991744E-2</v>
      </c>
      <c r="M31" s="2">
        <f t="shared" si="8"/>
        <v>7.3154241983131252E-2</v>
      </c>
      <c r="N31" s="2">
        <f t="shared" si="8"/>
        <v>8.4195040260260257E-2</v>
      </c>
      <c r="O31" s="2">
        <f t="shared" si="8"/>
        <v>9.2275456096014397E-2</v>
      </c>
      <c r="P31" s="2">
        <f t="shared" si="8"/>
        <v>0.1004954901996149</v>
      </c>
      <c r="Q31" s="2">
        <f t="shared" si="8"/>
        <v>0.10874442642035564</v>
      </c>
      <c r="R31" s="2">
        <f t="shared" si="8"/>
        <v>0.11693225219341663</v>
      </c>
      <c r="S31" s="2">
        <f t="shared" si="8"/>
        <v>0.12491072791435553</v>
      </c>
    </row>
    <row r="32" spans="1:21" x14ac:dyDescent="0.25">
      <c r="A32" s="27" t="s">
        <v>18</v>
      </c>
      <c r="D32" s="2">
        <f t="shared" ref="D32:S32" si="9">D18/C18-1</f>
        <v>2.6425742037007094E-2</v>
      </c>
      <c r="E32" s="16">
        <f t="shared" si="9"/>
        <v>4.0917741594417523E-2</v>
      </c>
      <c r="F32" s="16">
        <f t="shared" si="9"/>
        <v>8.6515997968511948E-2</v>
      </c>
      <c r="G32" s="16">
        <f t="shared" si="9"/>
        <v>-1.4233295159744808E-2</v>
      </c>
      <c r="H32" s="16">
        <f t="shared" si="9"/>
        <v>-5.5242069325239784E-3</v>
      </c>
      <c r="I32" s="16">
        <f t="shared" si="9"/>
        <v>1.2611753486708732E-2</v>
      </c>
      <c r="J32" s="21">
        <f t="shared" si="9"/>
        <v>-1.6425467743852562E-2</v>
      </c>
      <c r="K32" s="21">
        <f t="shared" si="9"/>
        <v>6.6068536450238913E-3</v>
      </c>
      <c r="L32" s="21">
        <f t="shared" si="9"/>
        <v>2.926672567547417E-3</v>
      </c>
      <c r="M32" s="21">
        <f t="shared" si="9"/>
        <v>1.4824242091537876E-3</v>
      </c>
      <c r="N32" s="21">
        <f t="shared" si="9"/>
        <v>6.6338909900220955E-4</v>
      </c>
      <c r="O32" s="21">
        <f t="shared" si="9"/>
        <v>-2.101181597768953E-5</v>
      </c>
      <c r="P32" s="21">
        <f t="shared" si="9"/>
        <v>-1.0760813673401648E-3</v>
      </c>
      <c r="Q32" s="21">
        <f t="shared" si="9"/>
        <v>-2.3623791268864158E-3</v>
      </c>
      <c r="R32" s="21">
        <f t="shared" si="9"/>
        <v>-3.7596407301867529E-3</v>
      </c>
      <c r="S32" s="21">
        <f t="shared" si="9"/>
        <v>-5.4566220932881215E-3</v>
      </c>
    </row>
    <row r="33" spans="1:21" x14ac:dyDescent="0.25">
      <c r="A33" s="7" t="s">
        <v>19</v>
      </c>
      <c r="D33" s="2">
        <f t="shared" ref="D33:S33" si="10">D19/C19-1</f>
        <v>-5.1017710811525285E-2</v>
      </c>
      <c r="E33" s="16">
        <f t="shared" si="10"/>
        <v>-1.392757660167121E-2</v>
      </c>
      <c r="F33" s="16">
        <f t="shared" si="10"/>
        <v>-2.6836158192090398E-2</v>
      </c>
      <c r="G33" s="16">
        <f t="shared" si="10"/>
        <v>-1.5094339622641506E-2</v>
      </c>
      <c r="H33" s="16">
        <f t="shared" si="10"/>
        <v>8.5470085470087387E-3</v>
      </c>
      <c r="I33" s="16">
        <f t="shared" si="10"/>
        <v>5.8445353594382965E-4</v>
      </c>
      <c r="J33" s="2">
        <f t="shared" si="10"/>
        <v>8.5160254603031671E-3</v>
      </c>
      <c r="K33" s="2">
        <f t="shared" si="10"/>
        <v>3.3241733699020504E-2</v>
      </c>
      <c r="L33" s="2">
        <f t="shared" si="10"/>
        <v>2.9525669212988159E-2</v>
      </c>
      <c r="M33" s="2">
        <f t="shared" si="10"/>
        <v>2.3105834804983516E-2</v>
      </c>
      <c r="N33" s="2">
        <f t="shared" si="10"/>
        <v>1.6787761063438822E-2</v>
      </c>
      <c r="O33" s="2">
        <f t="shared" si="10"/>
        <v>1.1080614155473345E-2</v>
      </c>
      <c r="P33" s="2">
        <f t="shared" si="10"/>
        <v>9.3703567993597137E-3</v>
      </c>
      <c r="Q33" s="2">
        <f t="shared" si="10"/>
        <v>-2.3964676819865027E-2</v>
      </c>
      <c r="R33" s="2">
        <f t="shared" si="10"/>
        <v>-1.1862232479321055E-2</v>
      </c>
      <c r="S33" s="2">
        <f t="shared" si="10"/>
        <v>6.9390027152380629E-3</v>
      </c>
    </row>
    <row r="34" spans="1:21" x14ac:dyDescent="0.25">
      <c r="A34" s="7" t="s">
        <v>20</v>
      </c>
    </row>
    <row r="35" spans="1:21" x14ac:dyDescent="0.25">
      <c r="A35" s="7" t="s">
        <v>21</v>
      </c>
      <c r="E35" s="17"/>
      <c r="F35" s="17"/>
      <c r="G35" s="17"/>
      <c r="H35" s="16">
        <f t="shared" ref="H35:S35" si="11">H21/G21-1</f>
        <v>0.84169124877089496</v>
      </c>
      <c r="I35" s="16">
        <f t="shared" si="11"/>
        <v>0.46689802455953022</v>
      </c>
      <c r="J35" s="2">
        <f t="shared" si="11"/>
        <v>0.36396724294813465</v>
      </c>
      <c r="K35" s="2">
        <f t="shared" si="11"/>
        <v>0.27751834556370913</v>
      </c>
      <c r="L35" s="2">
        <f t="shared" si="11"/>
        <v>0.22592167101827676</v>
      </c>
      <c r="M35" s="2">
        <f t="shared" si="11"/>
        <v>0.1916586870218604</v>
      </c>
      <c r="N35" s="2">
        <f t="shared" si="11"/>
        <v>0.1672668832724904</v>
      </c>
      <c r="O35" s="2">
        <f t="shared" si="11"/>
        <v>0.14902980723285086</v>
      </c>
      <c r="P35" s="2">
        <f t="shared" si="11"/>
        <v>0.13488858038889529</v>
      </c>
      <c r="Q35" s="2">
        <f t="shared" si="11"/>
        <v>0.12361048126537622</v>
      </c>
      <c r="R35" s="2">
        <f t="shared" si="11"/>
        <v>0.11441233653429128</v>
      </c>
      <c r="S35" s="2">
        <f t="shared" si="11"/>
        <v>0.10677271427711044</v>
      </c>
    </row>
    <row r="36" spans="1:21" x14ac:dyDescent="0.25">
      <c r="A36" s="7" t="s">
        <v>22</v>
      </c>
      <c r="E36" s="17"/>
      <c r="F36" s="17"/>
      <c r="G36" s="17"/>
      <c r="H36" s="16">
        <f t="shared" ref="H36:S36" si="12">H22/G22-1</f>
        <v>-7.8947368421052544E-2</v>
      </c>
      <c r="I36" s="16">
        <f t="shared" si="12"/>
        <v>-4.7619047619047672E-2</v>
      </c>
      <c r="J36" s="2">
        <f t="shared" si="12"/>
        <v>4.0000000000000036E-2</v>
      </c>
      <c r="K36" s="2">
        <f t="shared" si="12"/>
        <v>4.0000000000000036E-2</v>
      </c>
      <c r="L36" s="2">
        <f t="shared" si="12"/>
        <v>4.0000000000000036E-2</v>
      </c>
      <c r="M36" s="2">
        <f t="shared" si="12"/>
        <v>3.9999999999999813E-2</v>
      </c>
      <c r="N36" s="2">
        <f t="shared" si="12"/>
        <v>3.9999999999999813E-2</v>
      </c>
      <c r="O36" s="2">
        <f t="shared" si="12"/>
        <v>4.0000000000000036E-2</v>
      </c>
      <c r="P36" s="2">
        <f t="shared" si="12"/>
        <v>3.9999999999999813E-2</v>
      </c>
      <c r="Q36" s="2">
        <f t="shared" si="12"/>
        <v>4.0000000000000036E-2</v>
      </c>
      <c r="R36" s="2">
        <f t="shared" si="12"/>
        <v>4.0000000000000036E-2</v>
      </c>
      <c r="S36" s="2">
        <f t="shared" si="12"/>
        <v>4.0000000000000036E-2</v>
      </c>
    </row>
    <row r="37" spans="1:21" x14ac:dyDescent="0.25">
      <c r="A37" s="11" t="s">
        <v>23</v>
      </c>
      <c r="D37" s="18">
        <f>D23/C23-1</f>
        <v>-8.1081081081081252E-2</v>
      </c>
      <c r="E37" s="19">
        <f>E23/D23-1</f>
        <v>-2.1365149833518227E-2</v>
      </c>
      <c r="F37" s="19">
        <f>F23/E23-1</f>
        <v>-1.8712787071165526E-2</v>
      </c>
      <c r="G37" s="19">
        <f>G23/F23-1</f>
        <v>-4.2184339786188851E-2</v>
      </c>
      <c r="H37" s="19">
        <f t="shared" ref="H37:S37" si="13">H23/G23-1</f>
        <v>-1.689291101055812E-2</v>
      </c>
      <c r="I37" s="19">
        <f t="shared" si="13"/>
        <v>1.4421601718318522E-2</v>
      </c>
      <c r="J37" s="18">
        <f t="shared" si="13"/>
        <v>4.4512665207525171E-2</v>
      </c>
      <c r="K37" s="18">
        <f t="shared" si="13"/>
        <v>3.3241733699020504E-2</v>
      </c>
      <c r="L37" s="18">
        <f t="shared" si="13"/>
        <v>2.9525669212987937E-2</v>
      </c>
      <c r="M37" s="18">
        <f t="shared" si="13"/>
        <v>2.3105834804983516E-2</v>
      </c>
      <c r="N37" s="18">
        <f t="shared" si="13"/>
        <v>9.1259265744370932E-2</v>
      </c>
      <c r="O37" s="18">
        <f t="shared" si="13"/>
        <v>8.9796975571890592E-2</v>
      </c>
      <c r="P37" s="18">
        <f t="shared" si="13"/>
        <v>8.410282193869878E-2</v>
      </c>
      <c r="Q37" s="18">
        <f t="shared" si="13"/>
        <v>3.8032568274278145E-2</v>
      </c>
      <c r="R37" s="18">
        <f t="shared" si="13"/>
        <v>3.4464272521478989E-2</v>
      </c>
      <c r="S37" s="18">
        <f t="shared" si="13"/>
        <v>3.0548408426842588E-2</v>
      </c>
    </row>
    <row r="39" spans="1:21" x14ac:dyDescent="0.25">
      <c r="A39" s="30" t="s">
        <v>36</v>
      </c>
    </row>
    <row r="40" spans="1:21" x14ac:dyDescent="0.25">
      <c r="A40" s="30" t="s">
        <v>37</v>
      </c>
      <c r="B40" s="136">
        <v>1</v>
      </c>
    </row>
    <row r="43" spans="1:21" x14ac:dyDescent="0.25">
      <c r="A43" s="6" t="s">
        <v>194</v>
      </c>
      <c r="B43" s="7"/>
      <c r="C43" s="1">
        <v>2015</v>
      </c>
      <c r="D43" s="1">
        <v>2016</v>
      </c>
      <c r="E43" s="1">
        <v>2017</v>
      </c>
      <c r="F43" s="1">
        <v>2018</v>
      </c>
      <c r="G43" s="1">
        <v>2019</v>
      </c>
      <c r="H43" s="1">
        <v>2020</v>
      </c>
      <c r="I43" s="1">
        <v>2021</v>
      </c>
      <c r="J43" s="1">
        <v>2022</v>
      </c>
      <c r="K43" s="1">
        <v>2023</v>
      </c>
      <c r="L43" s="1">
        <v>2024</v>
      </c>
      <c r="M43" s="1">
        <v>2025</v>
      </c>
      <c r="N43" s="1">
        <v>2026</v>
      </c>
      <c r="O43" s="1">
        <v>2027</v>
      </c>
      <c r="P43" s="1">
        <v>2028</v>
      </c>
      <c r="Q43" s="1">
        <v>2029</v>
      </c>
      <c r="R43" s="1">
        <v>2030</v>
      </c>
      <c r="S43" s="1">
        <v>2031</v>
      </c>
      <c r="T43" s="7"/>
      <c r="U43" t="s">
        <v>38</v>
      </c>
    </row>
    <row r="44" spans="1:21" x14ac:dyDescent="0.25">
      <c r="A44" s="12" t="s">
        <v>3</v>
      </c>
      <c r="B44" s="12"/>
      <c r="C44" s="12">
        <f>C15</f>
        <v>23.722999999999999</v>
      </c>
      <c r="D44" s="12">
        <f t="shared" ref="D44:S44" si="14">D15</f>
        <v>24.312000000000001</v>
      </c>
      <c r="E44" s="12">
        <f t="shared" si="14"/>
        <v>25.379000000000001</v>
      </c>
      <c r="F44" s="12">
        <f t="shared" si="14"/>
        <v>26.494</v>
      </c>
      <c r="G44" s="12">
        <f t="shared" si="14"/>
        <v>27.646000000000001</v>
      </c>
      <c r="H44" s="12">
        <f t="shared" si="14"/>
        <v>28.498000000000001</v>
      </c>
      <c r="I44" s="12">
        <f t="shared" si="14"/>
        <v>29.471</v>
      </c>
      <c r="J44" s="12">
        <f t="shared" si="14"/>
        <v>30.816114100763969</v>
      </c>
      <c r="K44" s="12">
        <f t="shared" si="14"/>
        <v>32.406834186018116</v>
      </c>
      <c r="L44" s="12">
        <f t="shared" si="14"/>
        <v>34.127520653997721</v>
      </c>
      <c r="M44" s="12">
        <f t="shared" si="14"/>
        <v>35.939083599751754</v>
      </c>
      <c r="N44" s="12">
        <f t="shared" si="14"/>
        <v>37.871092159947054</v>
      </c>
      <c r="O44" s="12">
        <f t="shared" si="14"/>
        <v>39.901614631739051</v>
      </c>
      <c r="P44" s="12">
        <f t="shared" si="14"/>
        <v>42.014076392276316</v>
      </c>
      <c r="Q44" s="12">
        <f t="shared" si="14"/>
        <v>44.180343719805514</v>
      </c>
      <c r="R44" s="12">
        <f t="shared" si="14"/>
        <v>46.368714833000674</v>
      </c>
      <c r="S44" s="12">
        <f t="shared" si="14"/>
        <v>48.621555198314354</v>
      </c>
      <c r="T44" s="7"/>
      <c r="U44" s="20">
        <f>S44-S15</f>
        <v>0</v>
      </c>
    </row>
    <row r="45" spans="1:21" x14ac:dyDescent="0.25">
      <c r="A45" s="12" t="s">
        <v>4</v>
      </c>
      <c r="B45" s="8"/>
      <c r="C45" s="8">
        <f t="shared" ref="C45:F45" si="15">C16</f>
        <v>6.5519999999999996</v>
      </c>
      <c r="D45" s="8">
        <f t="shared" si="15"/>
        <v>6.6660000000000004</v>
      </c>
      <c r="E45" s="8">
        <f t="shared" si="15"/>
        <v>6.9089999999999998</v>
      </c>
      <c r="F45" s="8">
        <f t="shared" si="15"/>
        <v>7.1740000000000004</v>
      </c>
      <c r="G45" s="9">
        <f>G16*(1+G12)*(1+G10)</f>
        <v>7.5106027102201942</v>
      </c>
      <c r="H45" s="9">
        <f t="shared" ref="H45:S45" si="16">H16*(1+H12)*(1+H10)</f>
        <v>7.8041992162694136</v>
      </c>
      <c r="I45" s="9">
        <f t="shared" si="16"/>
        <v>8.1185527491678666</v>
      </c>
      <c r="J45" s="9">
        <f t="shared" si="16"/>
        <v>8.4145757090244562</v>
      </c>
      <c r="K45" s="9">
        <f t="shared" si="16"/>
        <v>8.7887669481252679</v>
      </c>
      <c r="L45" s="9">
        <f t="shared" si="16"/>
        <v>9.1852123498603024</v>
      </c>
      <c r="M45" s="9">
        <f t="shared" si="16"/>
        <v>9.5972286773538755</v>
      </c>
      <c r="N45" s="9">
        <f t="shared" si="16"/>
        <v>10.025686280042523</v>
      </c>
      <c r="O45" s="9">
        <f t="shared" si="16"/>
        <v>10.469833147237706</v>
      </c>
      <c r="P45" s="9">
        <f t="shared" si="16"/>
        <v>10.925890955819616</v>
      </c>
      <c r="Q45" s="9">
        <f t="shared" si="16"/>
        <v>11.388612552912342</v>
      </c>
      <c r="R45" s="9">
        <f t="shared" si="16"/>
        <v>11.868314557567748</v>
      </c>
      <c r="S45" s="9">
        <f t="shared" si="16"/>
        <v>12.362949220281005</v>
      </c>
      <c r="T45" s="7"/>
      <c r="U45" s="132">
        <f>S45-S16</f>
        <v>5.297183279298352</v>
      </c>
    </row>
    <row r="46" spans="1:21" x14ac:dyDescent="0.25">
      <c r="A46" s="12" t="s">
        <v>5</v>
      </c>
      <c r="B46" s="12"/>
      <c r="C46" s="12">
        <f t="shared" ref="C46:S46" si="17">C17</f>
        <v>1.4410000000000001</v>
      </c>
      <c r="D46" s="12">
        <f t="shared" si="17"/>
        <v>1.5289999999999999</v>
      </c>
      <c r="E46" s="12">
        <f t="shared" si="17"/>
        <v>1.629</v>
      </c>
      <c r="F46" s="12">
        <f t="shared" si="17"/>
        <v>1.768</v>
      </c>
      <c r="G46" s="12">
        <f t="shared" si="17"/>
        <v>1.821</v>
      </c>
      <c r="H46" s="23">
        <f t="shared" si="17"/>
        <v>1.8939999999999999</v>
      </c>
      <c r="I46" s="23">
        <f t="shared" si="17"/>
        <v>1.9490000000000001</v>
      </c>
      <c r="J46" s="23">
        <f t="shared" si="17"/>
        <v>2.0624954662766832</v>
      </c>
      <c r="K46" s="23">
        <f t="shared" si="17"/>
        <v>2.1074319222427529</v>
      </c>
      <c r="L46" s="23">
        <f t="shared" si="17"/>
        <v>2.2338955167689032</v>
      </c>
      <c r="M46" s="23">
        <f t="shared" si="17"/>
        <v>2.3973144499676478</v>
      </c>
      <c r="N46" s="23">
        <f t="shared" si="17"/>
        <v>2.5991564365991775</v>
      </c>
      <c r="O46" s="23">
        <f t="shared" si="17"/>
        <v>2.838994782251258</v>
      </c>
      <c r="P46" s="23">
        <f t="shared" si="17"/>
        <v>3.1243009545677469</v>
      </c>
      <c r="Q46" s="23">
        <f t="shared" si="17"/>
        <v>3.4640512698367862</v>
      </c>
      <c r="R46" s="23">
        <f t="shared" si="17"/>
        <v>3.8691105865322664</v>
      </c>
      <c r="S46" s="23">
        <f t="shared" si="17"/>
        <v>4.3524040062771512</v>
      </c>
      <c r="T46" s="7"/>
      <c r="U46" s="20">
        <f t="shared" ref="U46:U54" si="18">S46-S17</f>
        <v>0</v>
      </c>
    </row>
    <row r="47" spans="1:21" x14ac:dyDescent="0.25">
      <c r="A47" s="12" t="s">
        <v>6</v>
      </c>
      <c r="B47" s="12"/>
      <c r="C47" s="12">
        <f t="shared" ref="C47:F47" si="19">C18</f>
        <v>36.857999999999997</v>
      </c>
      <c r="D47" s="8">
        <f t="shared" si="19"/>
        <v>37.832000000000001</v>
      </c>
      <c r="E47" s="8">
        <f t="shared" si="19"/>
        <v>39.380000000000003</v>
      </c>
      <c r="F47" s="8">
        <f t="shared" si="19"/>
        <v>42.786999999999999</v>
      </c>
      <c r="G47" s="9">
        <f>G18*($B$40*(1+G11)+(1-$B$40)*(1+G12))*(1+G10)</f>
        <v>43.792982326959155</v>
      </c>
      <c r="H47" s="9">
        <f t="shared" ref="H47:S47" si="20">H18*($B$40*(1+H11)+(1-$B$40)*(1+H12))</f>
        <v>43.63360708534622</v>
      </c>
      <c r="I47" s="9">
        <f t="shared" si="20"/>
        <v>45.107251207729476</v>
      </c>
      <c r="J47" s="9">
        <f t="shared" si="20"/>
        <v>45.253670378163129</v>
      </c>
      <c r="K47" s="9">
        <f t="shared" si="20"/>
        <v>46.46370785035684</v>
      </c>
      <c r="L47" s="9">
        <f t="shared" si="20"/>
        <v>47.531685747699193</v>
      </c>
      <c r="M47" s="9">
        <f t="shared" si="20"/>
        <v>48.554190826740545</v>
      </c>
      <c r="N47" s="9">
        <f t="shared" si="20"/>
        <v>49.558129170598789</v>
      </c>
      <c r="O47" s="9">
        <f t="shared" si="20"/>
        <v>50.548229621594629</v>
      </c>
      <c r="P47" s="9">
        <f t="shared" si="20"/>
        <v>51.503712325817737</v>
      </c>
      <c r="Q47" s="9">
        <f t="shared" si="20"/>
        <v>52.409681851479299</v>
      </c>
      <c r="R47" s="9">
        <f t="shared" si="20"/>
        <v>53.256893082473034</v>
      </c>
      <c r="S47" s="9">
        <f t="shared" si="20"/>
        <v>54.025616149920516</v>
      </c>
      <c r="T47" s="7"/>
      <c r="U47" s="132">
        <f t="shared" si="18"/>
        <v>12.293076825430447</v>
      </c>
    </row>
    <row r="48" spans="1:21" x14ac:dyDescent="0.25">
      <c r="A48" s="12" t="s">
        <v>7</v>
      </c>
      <c r="B48" s="12"/>
      <c r="C48" s="12">
        <f t="shared" ref="C48:S48" si="21">C19</f>
        <v>3.7829999999999999</v>
      </c>
      <c r="D48" s="12">
        <f t="shared" si="21"/>
        <v>3.59</v>
      </c>
      <c r="E48" s="12">
        <f t="shared" si="21"/>
        <v>3.54</v>
      </c>
      <c r="F48" s="12">
        <f t="shared" si="21"/>
        <v>3.4449999999999998</v>
      </c>
      <c r="G48" s="12">
        <f t="shared" si="21"/>
        <v>3.3929999999999998</v>
      </c>
      <c r="H48" s="10">
        <f t="shared" si="21"/>
        <v>3.4220000000000002</v>
      </c>
      <c r="I48" s="10">
        <f t="shared" si="21"/>
        <v>3.4239999999999999</v>
      </c>
      <c r="J48" s="10">
        <f t="shared" si="21"/>
        <v>3.4531588711760777</v>
      </c>
      <c r="K48" s="10">
        <f t="shared" si="21"/>
        <v>3.567947858792123</v>
      </c>
      <c r="L48" s="10">
        <f t="shared" si="21"/>
        <v>3.6732939070400086</v>
      </c>
      <c r="M48" s="10">
        <f t="shared" si="21"/>
        <v>3.7581684292462278</v>
      </c>
      <c r="N48" s="10">
        <f t="shared" si="21"/>
        <v>3.8212596628725728</v>
      </c>
      <c r="O48" s="10">
        <f t="shared" si="21"/>
        <v>3.8636015667847383</v>
      </c>
      <c r="P48" s="10">
        <f t="shared" si="21"/>
        <v>3.8998048919960762</v>
      </c>
      <c r="Q48" s="10">
        <f t="shared" si="21"/>
        <v>3.8063473280988616</v>
      </c>
      <c r="R48" s="10">
        <f t="shared" si="21"/>
        <v>3.7611955511959105</v>
      </c>
      <c r="S48" s="10">
        <f t="shared" si="21"/>
        <v>3.7872944973382001</v>
      </c>
      <c r="T48" s="7"/>
      <c r="U48" s="20">
        <f t="shared" si="18"/>
        <v>0</v>
      </c>
    </row>
    <row r="49" spans="1:21" x14ac:dyDescent="0.25">
      <c r="A49" s="12" t="s">
        <v>8</v>
      </c>
      <c r="B49" s="12"/>
      <c r="C49" s="12">
        <f t="shared" ref="C49:S49" si="22">C20</f>
        <v>6.0000000000000001E-3</v>
      </c>
      <c r="D49" s="12">
        <f t="shared" si="22"/>
        <v>0</v>
      </c>
      <c r="E49" s="12">
        <f t="shared" si="22"/>
        <v>3.0000000000000001E-3</v>
      </c>
      <c r="F49" s="10">
        <f t="shared" si="22"/>
        <v>0</v>
      </c>
      <c r="G49" s="10">
        <f t="shared" si="22"/>
        <v>4.0000000000000001E-3</v>
      </c>
      <c r="H49" s="10">
        <f t="shared" si="22"/>
        <v>0</v>
      </c>
      <c r="I49" s="10">
        <f t="shared" si="22"/>
        <v>0</v>
      </c>
      <c r="J49" s="10">
        <f t="shared" si="22"/>
        <v>0</v>
      </c>
      <c r="K49" s="10">
        <f t="shared" si="22"/>
        <v>0</v>
      </c>
      <c r="L49" s="10">
        <f t="shared" si="22"/>
        <v>0</v>
      </c>
      <c r="M49" s="10">
        <f t="shared" si="22"/>
        <v>0</v>
      </c>
      <c r="N49" s="10">
        <f t="shared" si="22"/>
        <v>0</v>
      </c>
      <c r="O49" s="10">
        <f t="shared" si="22"/>
        <v>0</v>
      </c>
      <c r="P49" s="10">
        <f t="shared" si="22"/>
        <v>0</v>
      </c>
      <c r="Q49" s="10">
        <f t="shared" si="22"/>
        <v>0</v>
      </c>
      <c r="R49" s="10">
        <f t="shared" si="22"/>
        <v>0</v>
      </c>
      <c r="S49" s="10">
        <f t="shared" si="22"/>
        <v>0</v>
      </c>
      <c r="T49" s="7"/>
      <c r="U49" s="20">
        <f t="shared" si="18"/>
        <v>0</v>
      </c>
    </row>
    <row r="50" spans="1:21" x14ac:dyDescent="0.25">
      <c r="A50" s="12" t="s">
        <v>9</v>
      </c>
      <c r="B50" s="12"/>
      <c r="C50" s="12">
        <f t="shared" ref="C50:S50" si="23">C21</f>
        <v>0</v>
      </c>
      <c r="D50" s="12">
        <f t="shared" si="23"/>
        <v>0</v>
      </c>
      <c r="E50" s="12">
        <f t="shared" si="23"/>
        <v>0</v>
      </c>
      <c r="F50" s="10">
        <f t="shared" si="23"/>
        <v>0.49199999999999999</v>
      </c>
      <c r="G50" s="10">
        <f t="shared" si="23"/>
        <v>2.0339999999999998</v>
      </c>
      <c r="H50" s="10">
        <f t="shared" si="23"/>
        <v>3.746</v>
      </c>
      <c r="I50" s="10">
        <f t="shared" si="23"/>
        <v>5.4950000000000001</v>
      </c>
      <c r="J50" s="10">
        <f t="shared" si="23"/>
        <v>7.4950000000000001</v>
      </c>
      <c r="K50" s="10">
        <f t="shared" si="23"/>
        <v>9.5749999999999993</v>
      </c>
      <c r="L50" s="10">
        <f t="shared" si="23"/>
        <v>11.738199999999999</v>
      </c>
      <c r="M50" s="10">
        <f t="shared" si="23"/>
        <v>13.987928</v>
      </c>
      <c r="N50" s="10">
        <f t="shared" si="23"/>
        <v>16.32764512</v>
      </c>
      <c r="O50" s="10">
        <f t="shared" si="23"/>
        <v>18.760950924799999</v>
      </c>
      <c r="P50" s="10">
        <f t="shared" si="23"/>
        <v>21.291588961792002</v>
      </c>
      <c r="Q50" s="10">
        <f t="shared" si="23"/>
        <v>23.923452520263684</v>
      </c>
      <c r="R50" s="10">
        <f t="shared" si="23"/>
        <v>26.660590621074231</v>
      </c>
      <c r="S50" s="10">
        <f t="shared" si="23"/>
        <v>29.507214245917201</v>
      </c>
      <c r="T50" s="7"/>
      <c r="U50" s="20">
        <f t="shared" si="18"/>
        <v>0</v>
      </c>
    </row>
    <row r="51" spans="1:21" x14ac:dyDescent="0.25">
      <c r="A51" s="12" t="s">
        <v>10</v>
      </c>
      <c r="B51" s="12"/>
      <c r="C51" s="12">
        <f t="shared" ref="C51:S51" si="24">C22</f>
        <v>0</v>
      </c>
      <c r="D51" s="12">
        <f t="shared" si="24"/>
        <v>0</v>
      </c>
      <c r="E51" s="12">
        <f t="shared" si="24"/>
        <v>0</v>
      </c>
      <c r="F51" s="10">
        <f t="shared" si="24"/>
        <v>-1.175</v>
      </c>
      <c r="G51" s="10">
        <f t="shared" si="24"/>
        <v>-0.56999999999999995</v>
      </c>
      <c r="H51" s="10">
        <f t="shared" si="24"/>
        <v>-0.52500000000000002</v>
      </c>
      <c r="I51" s="10">
        <f t="shared" si="24"/>
        <v>-0.5</v>
      </c>
      <c r="J51" s="10">
        <f t="shared" si="24"/>
        <v>-0.52</v>
      </c>
      <c r="K51" s="10">
        <f t="shared" si="24"/>
        <v>-0.54080000000000006</v>
      </c>
      <c r="L51" s="10">
        <f t="shared" si="24"/>
        <v>-0.56243200000000004</v>
      </c>
      <c r="M51" s="10">
        <f t="shared" si="24"/>
        <v>-0.58492928</v>
      </c>
      <c r="N51" s="10">
        <f t="shared" si="24"/>
        <v>-0.60832645119999995</v>
      </c>
      <c r="O51" s="10">
        <f t="shared" si="24"/>
        <v>-0.63265950924799996</v>
      </c>
      <c r="P51" s="10">
        <f t="shared" si="24"/>
        <v>-0.65796588961791991</v>
      </c>
      <c r="Q51" s="10">
        <f t="shared" si="24"/>
        <v>-0.68428452520263672</v>
      </c>
      <c r="R51" s="10">
        <f t="shared" si="24"/>
        <v>-0.71165590621074215</v>
      </c>
      <c r="S51" s="10">
        <f t="shared" si="24"/>
        <v>-0.74012214245917185</v>
      </c>
      <c r="T51" s="7"/>
      <c r="U51" s="20">
        <f t="shared" si="18"/>
        <v>0</v>
      </c>
    </row>
    <row r="52" spans="1:21" x14ac:dyDescent="0.25">
      <c r="A52" s="12" t="s">
        <v>11</v>
      </c>
      <c r="B52" s="12"/>
      <c r="C52" s="12">
        <f t="shared" ref="C52" si="25">C23</f>
        <v>3.9220000000000002</v>
      </c>
      <c r="D52" s="12">
        <f t="shared" ref="D52:S52" si="26">D23</f>
        <v>3.6039999999999996</v>
      </c>
      <c r="E52" s="12">
        <f t="shared" si="26"/>
        <v>3.5270000000000001</v>
      </c>
      <c r="F52" s="10">
        <f t="shared" si="26"/>
        <v>3.4609999999999994</v>
      </c>
      <c r="G52" s="10">
        <f t="shared" si="26"/>
        <v>3.3149999999999999</v>
      </c>
      <c r="H52" s="10">
        <f t="shared" si="26"/>
        <v>3.2589999999999999</v>
      </c>
      <c r="I52" s="10">
        <f t="shared" si="26"/>
        <v>3.306</v>
      </c>
      <c r="J52" s="10">
        <f t="shared" si="26"/>
        <v>3.4531588711760781</v>
      </c>
      <c r="K52" s="10">
        <f t="shared" si="26"/>
        <v>3.5679478587921234</v>
      </c>
      <c r="L52" s="10">
        <f t="shared" si="26"/>
        <v>3.6732939070400086</v>
      </c>
      <c r="M52" s="10">
        <f t="shared" si="26"/>
        <v>3.7581684292462278</v>
      </c>
      <c r="N52" s="10">
        <f t="shared" si="26"/>
        <v>4.1011361206429147</v>
      </c>
      <c r="O52" s="10">
        <f t="shared" si="26"/>
        <v>4.4694057406852847</v>
      </c>
      <c r="P52" s="10">
        <f t="shared" si="26"/>
        <v>4.8452953758659376</v>
      </c>
      <c r="Q52" s="10">
        <f t="shared" si="26"/>
        <v>5.0295744030576026</v>
      </c>
      <c r="R52" s="10">
        <f t="shared" si="26"/>
        <v>5.2029150259516346</v>
      </c>
      <c r="S52" s="10">
        <f t="shared" si="26"/>
        <v>5.3618557991745615</v>
      </c>
      <c r="T52" s="7"/>
      <c r="U52" s="20">
        <f t="shared" si="18"/>
        <v>0</v>
      </c>
    </row>
    <row r="53" spans="1:21" x14ac:dyDescent="0.25">
      <c r="A53" s="12" t="s">
        <v>12</v>
      </c>
      <c r="B53" s="12"/>
      <c r="C53" s="12">
        <f t="shared" ref="C53:S53" si="27">C24</f>
        <v>-3.9220000000000002</v>
      </c>
      <c r="D53" s="12">
        <f t="shared" si="27"/>
        <v>-3.6040000000000001</v>
      </c>
      <c r="E53" s="12">
        <f t="shared" si="27"/>
        <v>-3.5270000000000001</v>
      </c>
      <c r="F53" s="10">
        <f t="shared" si="27"/>
        <v>-3.4609999999999999</v>
      </c>
      <c r="G53" s="10">
        <f t="shared" si="27"/>
        <v>-3.3149999999999999</v>
      </c>
      <c r="H53" s="10">
        <f t="shared" si="27"/>
        <v>-3.2589999999999999</v>
      </c>
      <c r="I53" s="10">
        <f t="shared" si="27"/>
        <v>-3.306</v>
      </c>
      <c r="J53" s="10">
        <f t="shared" si="27"/>
        <v>-3.4531588711760777</v>
      </c>
      <c r="K53" s="10">
        <f t="shared" si="27"/>
        <v>-3.567947858792123</v>
      </c>
      <c r="L53" s="10">
        <f t="shared" si="27"/>
        <v>-3.6732939070400086</v>
      </c>
      <c r="M53" s="10">
        <f t="shared" si="27"/>
        <v>-3.7581684292462278</v>
      </c>
      <c r="N53" s="10">
        <f t="shared" si="27"/>
        <v>-3.8212596628725728</v>
      </c>
      <c r="O53" s="10">
        <f t="shared" si="27"/>
        <v>-3.8636015667847383</v>
      </c>
      <c r="P53" s="10">
        <f t="shared" si="27"/>
        <v>-3.8998048919960762</v>
      </c>
      <c r="Q53" s="10">
        <f t="shared" si="27"/>
        <v>-3.8063473280988616</v>
      </c>
      <c r="R53" s="10">
        <f t="shared" si="27"/>
        <v>-3.7611955511959105</v>
      </c>
      <c r="S53" s="10">
        <f t="shared" si="27"/>
        <v>-3.7872944973382001</v>
      </c>
      <c r="T53" s="7"/>
      <c r="U53" s="20">
        <f t="shared" si="18"/>
        <v>0</v>
      </c>
    </row>
    <row r="54" spans="1:21" x14ac:dyDescent="0.25">
      <c r="A54" s="13" t="s">
        <v>13</v>
      </c>
      <c r="B54" s="12"/>
      <c r="C54" s="14">
        <f>SUM(C44:C53)</f>
        <v>72.363</v>
      </c>
      <c r="D54" s="14">
        <f t="shared" ref="D54:S54" si="28">SUM(D44:D53)</f>
        <v>73.929000000000002</v>
      </c>
      <c r="E54" s="14">
        <f t="shared" si="28"/>
        <v>76.84</v>
      </c>
      <c r="F54" s="14">
        <f t="shared" si="28"/>
        <v>80.984999999999999</v>
      </c>
      <c r="G54" s="14">
        <f t="shared" si="28"/>
        <v>85.631585037179377</v>
      </c>
      <c r="H54" s="14">
        <f t="shared" si="28"/>
        <v>88.47280630161562</v>
      </c>
      <c r="I54" s="14">
        <f t="shared" si="28"/>
        <v>93.06480395689735</v>
      </c>
      <c r="J54" s="14">
        <f t="shared" si="28"/>
        <v>96.975014525404319</v>
      </c>
      <c r="K54" s="14">
        <f t="shared" si="28"/>
        <v>102.3688887655351</v>
      </c>
      <c r="L54" s="14">
        <f t="shared" si="28"/>
        <v>107.92737617536613</v>
      </c>
      <c r="M54" s="14">
        <f t="shared" si="28"/>
        <v>113.64898470306004</v>
      </c>
      <c r="N54" s="14">
        <f t="shared" si="28"/>
        <v>119.87451883663047</v>
      </c>
      <c r="O54" s="14">
        <f t="shared" si="28"/>
        <v>126.35636933905992</v>
      </c>
      <c r="P54" s="14">
        <f t="shared" si="28"/>
        <v>133.04689907652144</v>
      </c>
      <c r="Q54" s="14">
        <f t="shared" si="28"/>
        <v>139.71143179215261</v>
      </c>
      <c r="R54" s="14">
        <f t="shared" si="28"/>
        <v>146.51488280038885</v>
      </c>
      <c r="S54" s="14">
        <f t="shared" si="28"/>
        <v>153.49147247742559</v>
      </c>
      <c r="T54" s="7"/>
      <c r="U54" s="20">
        <f t="shared" si="18"/>
        <v>17.590260104728799</v>
      </c>
    </row>
    <row r="55" spans="1:21" x14ac:dyDescent="0.25">
      <c r="A55" s="7" t="s">
        <v>27</v>
      </c>
      <c r="B55" s="6"/>
      <c r="C55" s="24">
        <f>C26</f>
        <v>72.363</v>
      </c>
      <c r="D55" s="24">
        <f t="shared" ref="D55:S55" si="29">D26</f>
        <v>73.929000000000002</v>
      </c>
      <c r="E55" s="24">
        <f t="shared" si="29"/>
        <v>76.84</v>
      </c>
      <c r="F55" s="24">
        <f t="shared" si="29"/>
        <v>80.984999999999999</v>
      </c>
      <c r="G55" s="24">
        <f t="shared" si="29"/>
        <v>83.673000000000016</v>
      </c>
      <c r="H55" s="24">
        <f t="shared" si="29"/>
        <v>86.120999999999995</v>
      </c>
      <c r="I55" s="24">
        <f t="shared" si="29"/>
        <v>89.463999999999999</v>
      </c>
      <c r="J55" s="24">
        <f t="shared" si="29"/>
        <v>92.178037940751651</v>
      </c>
      <c r="K55" s="24">
        <f t="shared" si="29"/>
        <v>96.259768431088034</v>
      </c>
      <c r="L55" s="24">
        <f t="shared" si="29"/>
        <v>100.47858825825509</v>
      </c>
      <c r="M55" s="24">
        <f t="shared" si="29"/>
        <v>104.82931875076106</v>
      </c>
      <c r="N55" s="24">
        <f t="shared" si="29"/>
        <v>109.65159862885689</v>
      </c>
      <c r="O55" s="24">
        <f t="shared" si="29"/>
        <v>114.69887447596624</v>
      </c>
      <c r="P55" s="24">
        <f t="shared" si="29"/>
        <v>119.92957929471129</v>
      </c>
      <c r="Q55" s="24">
        <f t="shared" si="29"/>
        <v>125.11671021923833</v>
      </c>
      <c r="R55" s="24">
        <f t="shared" si="29"/>
        <v>130.42648122451808</v>
      </c>
      <c r="S55" s="24">
        <f t="shared" si="29"/>
        <v>135.90121237269679</v>
      </c>
      <c r="T55" s="6"/>
      <c r="U55" s="6"/>
    </row>
    <row r="56" spans="1:21" x14ac:dyDescent="0.25">
      <c r="A56" s="6" t="s">
        <v>28</v>
      </c>
      <c r="B56" s="7"/>
      <c r="C56" s="7"/>
      <c r="D56" s="7"/>
      <c r="E56" s="7"/>
      <c r="F56" s="7"/>
      <c r="G56" s="24">
        <f>G54-G55</f>
        <v>1.9585850371793612</v>
      </c>
      <c r="H56" s="24">
        <f t="shared" ref="H56:S56" si="30">H54-H55</f>
        <v>2.3518063016156248</v>
      </c>
      <c r="I56" s="24">
        <f t="shared" si="30"/>
        <v>3.6008039568973516</v>
      </c>
      <c r="J56" s="24">
        <f t="shared" si="30"/>
        <v>4.7969765846526684</v>
      </c>
      <c r="K56" s="24">
        <f t="shared" si="30"/>
        <v>6.1091203344470699</v>
      </c>
      <c r="L56" s="24">
        <f t="shared" si="30"/>
        <v>7.4487879171110478</v>
      </c>
      <c r="M56" s="24">
        <f t="shared" si="30"/>
        <v>8.8196659522989762</v>
      </c>
      <c r="N56" s="24">
        <f t="shared" si="30"/>
        <v>10.222920207773583</v>
      </c>
      <c r="O56" s="24">
        <f t="shared" si="30"/>
        <v>11.657494863093689</v>
      </c>
      <c r="P56" s="24">
        <f t="shared" si="30"/>
        <v>13.117319781810153</v>
      </c>
      <c r="Q56" s="24">
        <f t="shared" si="30"/>
        <v>14.594721572914281</v>
      </c>
      <c r="R56" s="24">
        <f t="shared" si="30"/>
        <v>16.088401575870762</v>
      </c>
      <c r="S56" s="24">
        <f t="shared" si="30"/>
        <v>17.590260104728799</v>
      </c>
      <c r="T56" s="7"/>
      <c r="U56" s="7"/>
    </row>
    <row r="57" spans="1:21" x14ac:dyDescent="0.25">
      <c r="A57" s="7" t="s">
        <v>125</v>
      </c>
      <c r="B57" s="7"/>
      <c r="C57" s="7"/>
      <c r="D57" s="7"/>
      <c r="E57" s="7"/>
      <c r="F57" s="24">
        <f>F50</f>
        <v>0.49199999999999999</v>
      </c>
      <c r="G57" s="24">
        <f t="shared" ref="G57:S57" si="31">G50</f>
        <v>2.0339999999999998</v>
      </c>
      <c r="H57" s="24">
        <f t="shared" si="31"/>
        <v>3.746</v>
      </c>
      <c r="I57" s="24">
        <f t="shared" si="31"/>
        <v>5.4950000000000001</v>
      </c>
      <c r="J57" s="24">
        <f t="shared" si="31"/>
        <v>7.4950000000000001</v>
      </c>
      <c r="K57" s="24">
        <f t="shared" si="31"/>
        <v>9.5749999999999993</v>
      </c>
      <c r="L57" s="24">
        <f t="shared" si="31"/>
        <v>11.738199999999999</v>
      </c>
      <c r="M57" s="24">
        <f t="shared" si="31"/>
        <v>13.987928</v>
      </c>
      <c r="N57" s="24">
        <f t="shared" si="31"/>
        <v>16.32764512</v>
      </c>
      <c r="O57" s="24">
        <f t="shared" si="31"/>
        <v>18.760950924799999</v>
      </c>
      <c r="P57" s="24">
        <f t="shared" si="31"/>
        <v>21.291588961792002</v>
      </c>
      <c r="Q57" s="24">
        <f t="shared" si="31"/>
        <v>23.923452520263684</v>
      </c>
      <c r="R57" s="24">
        <f t="shared" si="31"/>
        <v>26.660590621074231</v>
      </c>
      <c r="S57" s="24">
        <f t="shared" si="31"/>
        <v>29.507214245917201</v>
      </c>
      <c r="T57" s="7"/>
      <c r="U57" s="7"/>
    </row>
    <row r="58" spans="1:21" ht="15.75" thickBot="1" x14ac:dyDescent="0.3">
      <c r="A58" s="7" t="s">
        <v>29</v>
      </c>
      <c r="B58" s="7"/>
      <c r="C58" s="7"/>
      <c r="D58" s="7"/>
      <c r="E58" s="7"/>
      <c r="F58" s="7"/>
      <c r="G58" s="24">
        <f>G57-G56</f>
        <v>7.5414962820638642E-2</v>
      </c>
      <c r="H58" s="24">
        <f t="shared" ref="H58:S58" si="32">H57-H56</f>
        <v>1.3941936983843752</v>
      </c>
      <c r="I58" s="24">
        <f t="shared" si="32"/>
        <v>1.8941960431026486</v>
      </c>
      <c r="J58" s="24">
        <f>J57-J56</f>
        <v>2.6980234153473317</v>
      </c>
      <c r="K58" s="24">
        <f t="shared" si="32"/>
        <v>3.4658796655529294</v>
      </c>
      <c r="L58" s="24">
        <f t="shared" si="32"/>
        <v>4.2894120828889513</v>
      </c>
      <c r="M58" s="24">
        <f t="shared" si="32"/>
        <v>5.1682620477010239</v>
      </c>
      <c r="N58" s="24">
        <f t="shared" si="32"/>
        <v>6.1047249122264162</v>
      </c>
      <c r="O58" s="24">
        <f t="shared" si="32"/>
        <v>7.1034560617063107</v>
      </c>
      <c r="P58" s="24">
        <f t="shared" si="32"/>
        <v>8.1742691799818488</v>
      </c>
      <c r="Q58" s="24">
        <f t="shared" si="32"/>
        <v>9.3287309473494027</v>
      </c>
      <c r="R58" s="24">
        <f t="shared" si="32"/>
        <v>10.572189045203469</v>
      </c>
      <c r="S58" s="24">
        <f t="shared" si="32"/>
        <v>11.916954141188402</v>
      </c>
      <c r="T58" s="7"/>
      <c r="U58" s="7"/>
    </row>
    <row r="59" spans="1:21" ht="15.75" thickBot="1" x14ac:dyDescent="0.3">
      <c r="A59" s="7" t="s">
        <v>30</v>
      </c>
      <c r="B59" s="7"/>
      <c r="C59" s="7"/>
      <c r="D59" s="7"/>
      <c r="E59" s="7"/>
      <c r="F59" s="24">
        <f>F57</f>
        <v>0.49199999999999999</v>
      </c>
      <c r="G59" s="24">
        <f>F59+G58</f>
        <v>0.56741496282063864</v>
      </c>
      <c r="H59" s="24">
        <f t="shared" ref="H59:S59" si="33">G59+H58</f>
        <v>1.9616086612050139</v>
      </c>
      <c r="I59" s="24">
        <f t="shared" si="33"/>
        <v>3.8558047043076624</v>
      </c>
      <c r="J59" s="31">
        <f>I59+J58</f>
        <v>6.5538281196549946</v>
      </c>
      <c r="K59" s="24">
        <f t="shared" si="33"/>
        <v>10.019707785207924</v>
      </c>
      <c r="L59" s="24">
        <f t="shared" si="33"/>
        <v>14.309119868096875</v>
      </c>
      <c r="M59" s="24">
        <f t="shared" si="33"/>
        <v>19.477381915797899</v>
      </c>
      <c r="N59" s="24">
        <f t="shared" si="33"/>
        <v>25.582106828024315</v>
      </c>
      <c r="O59" s="24">
        <f t="shared" si="33"/>
        <v>32.685562889730626</v>
      </c>
      <c r="P59" s="24">
        <f t="shared" si="33"/>
        <v>40.859832069712475</v>
      </c>
      <c r="Q59" s="24">
        <f t="shared" si="33"/>
        <v>50.188563017061881</v>
      </c>
      <c r="R59" s="24">
        <f t="shared" si="33"/>
        <v>60.760752062265354</v>
      </c>
      <c r="S59" s="24">
        <f t="shared" si="33"/>
        <v>72.677706203453752</v>
      </c>
      <c r="T59" s="7"/>
      <c r="U59" s="7"/>
    </row>
    <row r="60" spans="1:21" ht="15.75" thickBot="1" x14ac:dyDescent="0.3">
      <c r="A60" t="s">
        <v>124</v>
      </c>
      <c r="B60" s="7"/>
      <c r="C60" s="7"/>
      <c r="D60" s="7"/>
      <c r="E60" s="7"/>
      <c r="F60" s="20"/>
      <c r="G60" s="20">
        <f>SUM($G56:G56)</f>
        <v>1.9585850371793612</v>
      </c>
      <c r="H60" s="20">
        <f>SUM($G56:H56)</f>
        <v>4.3103913387949859</v>
      </c>
      <c r="I60" s="20">
        <f>SUM($G56:I56)</f>
        <v>7.9111952956923375</v>
      </c>
      <c r="J60" s="31">
        <f>SUM($G56:J56)</f>
        <v>12.708171880345006</v>
      </c>
      <c r="K60" s="20">
        <f>SUM($G56:K56)</f>
        <v>18.817292214792076</v>
      </c>
      <c r="L60" s="20">
        <f>SUM($G56:L56)</f>
        <v>26.266080131903124</v>
      </c>
      <c r="M60" s="20">
        <f>SUM($G56:M56)</f>
        <v>35.0857460842021</v>
      </c>
      <c r="N60" s="20">
        <f>SUM($G56:N56)</f>
        <v>45.308666291975683</v>
      </c>
      <c r="O60" s="20">
        <f>SUM($G56:O56)</f>
        <v>56.966161155069372</v>
      </c>
      <c r="P60" s="20">
        <f>SUM($G56:P56)</f>
        <v>70.083480936879525</v>
      </c>
      <c r="Q60" s="20">
        <f>SUM($G56:Q56)</f>
        <v>84.678202509793806</v>
      </c>
      <c r="R60" s="20">
        <f>SUM($G56:R56)</f>
        <v>100.76660408566457</v>
      </c>
      <c r="S60" s="20">
        <f>SUM($G56:S56)</f>
        <v>118.35686419039337</v>
      </c>
      <c r="T60" s="7"/>
    </row>
    <row r="61" spans="1:21" x14ac:dyDescent="0.25">
      <c r="B61" s="7"/>
      <c r="C61" s="7"/>
      <c r="D61" s="7"/>
      <c r="E61" s="7"/>
      <c r="F61" s="7"/>
      <c r="G61" s="7"/>
      <c r="H61" s="7"/>
      <c r="I61" s="30" t="s">
        <v>127</v>
      </c>
      <c r="J61" s="137" t="b">
        <f>SUM(J59:J60)=SUM(F57:J57)</f>
        <v>1</v>
      </c>
      <c r="K61" s="7"/>
      <c r="L61" s="7"/>
      <c r="M61" s="7"/>
      <c r="N61" s="7"/>
      <c r="O61" s="7"/>
      <c r="P61" s="7"/>
      <c r="Q61" s="7"/>
      <c r="R61" s="7"/>
      <c r="S61" s="7"/>
      <c r="T61" s="7"/>
    </row>
    <row r="62" spans="1:21" x14ac:dyDescent="0.25">
      <c r="A62" s="7" t="s">
        <v>126</v>
      </c>
      <c r="B62" s="7"/>
      <c r="C62" s="7"/>
      <c r="D62" s="7"/>
      <c r="E62" s="7"/>
      <c r="F62" s="7"/>
      <c r="G62" s="7"/>
      <c r="H62" s="7"/>
      <c r="I62" s="7"/>
      <c r="J62" s="7"/>
      <c r="K62" s="7"/>
      <c r="L62" s="7"/>
      <c r="M62" s="7"/>
      <c r="N62" s="7"/>
      <c r="O62" s="7"/>
      <c r="P62" s="7"/>
      <c r="Q62" s="7"/>
      <c r="R62" s="7"/>
      <c r="S62" s="7"/>
      <c r="T62" s="7"/>
    </row>
    <row r="63" spans="1:21" ht="51.75" customHeight="1" x14ac:dyDescent="0.25">
      <c r="A63" s="7"/>
      <c r="B63" s="239" t="s">
        <v>129</v>
      </c>
      <c r="C63" s="240"/>
      <c r="D63" s="240"/>
      <c r="E63" s="240"/>
      <c r="F63" s="240"/>
      <c r="G63" s="241"/>
      <c r="L63" s="7"/>
      <c r="M63" s="7"/>
      <c r="N63" s="7"/>
      <c r="O63" s="7"/>
      <c r="P63" s="7"/>
      <c r="Q63" s="7"/>
      <c r="R63" s="7"/>
      <c r="S63" s="7"/>
      <c r="T63" s="7"/>
    </row>
    <row r="64" spans="1:21" x14ac:dyDescent="0.25">
      <c r="A64" s="7"/>
      <c r="B64" s="46"/>
      <c r="C64" s="48">
        <v>1</v>
      </c>
      <c r="D64" s="48">
        <v>0.9</v>
      </c>
      <c r="E64" s="48">
        <v>0.8</v>
      </c>
      <c r="F64" s="48">
        <v>0.7</v>
      </c>
      <c r="G64" s="49">
        <v>0.6</v>
      </c>
      <c r="L64" s="7"/>
      <c r="M64" s="7"/>
      <c r="N64" s="25"/>
      <c r="O64" s="25"/>
      <c r="P64" s="25"/>
      <c r="Q64" s="25"/>
      <c r="R64" s="7"/>
      <c r="S64" s="7"/>
      <c r="T64" s="7"/>
    </row>
    <row r="65" spans="1:20" x14ac:dyDescent="0.25">
      <c r="A65" s="7"/>
      <c r="B65" s="47">
        <f>J59</f>
        <v>6.5538281196549946</v>
      </c>
      <c r="C65" s="50">
        <f t="dataTable" ref="C65:G65" dt2D="0" dtr="1" r1="B40"/>
        <v>6.5538281196549946</v>
      </c>
      <c r="D65" s="50">
        <v>6.1819442413883365</v>
      </c>
      <c r="E65" s="50">
        <v>5.8100603631216501</v>
      </c>
      <c r="F65" s="50">
        <v>5.4381764848550205</v>
      </c>
      <c r="G65" s="51">
        <v>5.0662926065883624</v>
      </c>
      <c r="L65" s="7"/>
      <c r="M65" s="24"/>
      <c r="N65" s="26"/>
      <c r="O65" s="26"/>
      <c r="P65" s="26"/>
      <c r="Q65" s="26"/>
      <c r="R65" s="7"/>
      <c r="S65" s="7"/>
      <c r="T65" s="7"/>
    </row>
    <row r="66" spans="1:20" x14ac:dyDescent="0.25">
      <c r="A66" s="7"/>
      <c r="B66" s="7"/>
      <c r="C66" s="7"/>
      <c r="D66" s="7"/>
      <c r="E66" s="7"/>
      <c r="F66" s="133"/>
      <c r="G66" s="134"/>
      <c r="H66" s="134"/>
      <c r="I66" s="134"/>
      <c r="J66" s="134"/>
      <c r="K66" s="134"/>
      <c r="L66" s="7"/>
      <c r="M66" s="24"/>
      <c r="N66" s="26"/>
      <c r="O66" s="26"/>
      <c r="P66" s="26"/>
      <c r="Q66" s="26"/>
      <c r="R66" s="7"/>
      <c r="S66" s="7"/>
      <c r="T66" s="7"/>
    </row>
    <row r="67" spans="1:20" x14ac:dyDescent="0.25">
      <c r="A67" s="7" t="s">
        <v>31</v>
      </c>
      <c r="G67" s="52"/>
      <c r="H67" s="135"/>
      <c r="I67" s="135"/>
      <c r="J67" s="135"/>
      <c r="K67" s="135"/>
      <c r="L67" s="135"/>
    </row>
    <row r="68" spans="1:20" ht="51.75" customHeight="1" x14ac:dyDescent="0.25">
      <c r="B68" s="239" t="s">
        <v>130</v>
      </c>
      <c r="C68" s="240"/>
      <c r="D68" s="240"/>
      <c r="E68" s="240"/>
      <c r="F68" s="240"/>
      <c r="G68" s="241"/>
      <c r="L68" s="135"/>
    </row>
    <row r="69" spans="1:20" x14ac:dyDescent="0.25">
      <c r="B69" s="52"/>
      <c r="C69" s="48">
        <v>1</v>
      </c>
      <c r="D69" s="48">
        <v>0.9</v>
      </c>
      <c r="E69" s="48">
        <v>0.8</v>
      </c>
      <c r="F69" s="48">
        <v>0.7</v>
      </c>
      <c r="G69" s="49">
        <v>0.6</v>
      </c>
    </row>
    <row r="70" spans="1:20" x14ac:dyDescent="0.25">
      <c r="A70" t="s">
        <v>85</v>
      </c>
      <c r="B70" s="53">
        <f>SUM(G56:J56)</f>
        <v>12.708171880345006</v>
      </c>
      <c r="C70" s="50">
        <f t="dataTable" ref="C70:G70" dt2D="0" dtr="1" r1="B40" ca="1"/>
        <v>12.708171880345006</v>
      </c>
      <c r="D70" s="50">
        <v>13.080055758611664</v>
      </c>
      <c r="E70" s="50">
        <v>13.45193963687835</v>
      </c>
      <c r="F70" s="50">
        <v>13.82382351514498</v>
      </c>
      <c r="G70" s="51">
        <v>14.195707393411638</v>
      </c>
    </row>
  </sheetData>
  <mergeCells count="2">
    <mergeCell ref="B63:G63"/>
    <mergeCell ref="B68:G68"/>
  </mergeCells>
  <hyperlinks>
    <hyperlink ref="A1" r:id="rId1"/>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Labour Fiscal Plan</vt:lpstr>
      <vt:lpstr>LFP &amp; Total Crown</vt:lpstr>
      <vt:lpstr>Historical growth</vt:lpstr>
      <vt:lpstr>Core Crown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2017-09-18T02:41:50Z</dcterms:created>
  <dcterms:modified xsi:type="dcterms:W3CDTF">2017-09-20T09:09:33Z</dcterms:modified>
  <cp:contentStatus/>
</cp:coreProperties>
</file>