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ocuments\Kiwiblog\"/>
    </mc:Choice>
  </mc:AlternateContent>
  <bookViews>
    <workbookView xWindow="0" yWindow="0" windowWidth="24000" windowHeight="9735"/>
  </bookViews>
  <sheets>
    <sheet name="Spending" sheetId="1" r:id="rId1"/>
    <sheet name="Tax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23" i="1" s="1"/>
  <c r="M23" i="1" s="1"/>
  <c r="M21" i="1"/>
  <c r="M22" i="1"/>
  <c r="M25" i="1"/>
  <c r="M26" i="1"/>
  <c r="M27" i="1"/>
  <c r="M20" i="1"/>
  <c r="L21" i="1"/>
  <c r="L22" i="1"/>
  <c r="L25" i="1"/>
  <c r="L26" i="1"/>
  <c r="L27" i="1"/>
  <c r="L20" i="1"/>
  <c r="K27" i="1"/>
  <c r="K26" i="1"/>
  <c r="K25" i="1"/>
  <c r="K24" i="1"/>
  <c r="L24" i="1" s="1"/>
  <c r="M24" i="1" s="1"/>
  <c r="K22" i="1"/>
  <c r="K21" i="1"/>
  <c r="K20" i="1"/>
  <c r="G4" i="1"/>
  <c r="F12" i="1"/>
  <c r="G12" i="1" s="1"/>
  <c r="G18" i="1" l="1"/>
  <c r="G32" i="1" l="1"/>
  <c r="G5" i="1" l="1"/>
  <c r="M5" i="1" l="1"/>
  <c r="G25" i="1" l="1"/>
  <c r="G34" i="1" l="1"/>
  <c r="G17" i="1" l="1"/>
  <c r="G44" i="1" l="1"/>
  <c r="G39" i="1"/>
  <c r="G29" i="1"/>
  <c r="G41" i="1"/>
  <c r="G20" i="1"/>
  <c r="G38" i="1"/>
  <c r="G3" i="1"/>
  <c r="G7" i="1"/>
  <c r="G14" i="1"/>
  <c r="G11" i="1"/>
  <c r="G28" i="1"/>
  <c r="G35" i="1"/>
  <c r="F35" i="1"/>
  <c r="G43" i="1"/>
  <c r="G42" i="1"/>
  <c r="G27" i="1" l="1"/>
  <c r="F33" i="1" l="1"/>
  <c r="G33" i="1" s="1"/>
  <c r="G40" i="1" l="1"/>
  <c r="G10" i="1" l="1"/>
  <c r="G45" i="1" l="1"/>
  <c r="G46" i="1"/>
  <c r="G9" i="1" l="1"/>
  <c r="G22" i="1" l="1"/>
  <c r="K3" i="1" l="1"/>
  <c r="K14" i="1" s="1"/>
  <c r="K15" i="1" s="1"/>
  <c r="K6" i="1" l="1"/>
  <c r="K7" i="1" s="1"/>
  <c r="K10" i="1"/>
  <c r="K11" i="1" s="1"/>
</calcChain>
</file>

<file path=xl/sharedStrings.xml><?xml version="1.0" encoding="utf-8"?>
<sst xmlns="http://schemas.openxmlformats.org/spreadsheetml/2006/main" count="265" uniqueCount="179">
  <si>
    <t>Date</t>
  </si>
  <si>
    <t>Group</t>
  </si>
  <si>
    <t>PPTA</t>
  </si>
  <si>
    <t>Item</t>
  </si>
  <si>
    <t>Category</t>
  </si>
  <si>
    <t>Education</t>
  </si>
  <si>
    <t>Annual Cost</t>
  </si>
  <si>
    <t>NZNO</t>
  </si>
  <si>
    <t>NZMSA</t>
  </si>
  <si>
    <t>Loans of $30,000 for 150 students</t>
  </si>
  <si>
    <t>Tertiary Education</t>
  </si>
  <si>
    <t>Health</t>
  </si>
  <si>
    <t>ALCP</t>
  </si>
  <si>
    <t>Tax Cannabis</t>
  </si>
  <si>
    <t>Revenue</t>
  </si>
  <si>
    <t>UNICEF</t>
  </si>
  <si>
    <t>Welfare</t>
  </si>
  <si>
    <t>Oxfam</t>
  </si>
  <si>
    <t>Aid to 0.7% of GDP</t>
  </si>
  <si>
    <t>Foreign Affairs</t>
  </si>
  <si>
    <t>Pay Claim 6%</t>
  </si>
  <si>
    <t>Susan St John</t>
  </si>
  <si>
    <t>Tax 17.5% to $15K and then 39%</t>
  </si>
  <si>
    <t>Income Tax</t>
  </si>
  <si>
    <t>Richard Wood</t>
  </si>
  <si>
    <t>Clare Curran</t>
  </si>
  <si>
    <t>Increase NGO funding by 30%</t>
  </si>
  <si>
    <t>Broadcasting</t>
  </si>
  <si>
    <t>Increase public broadcast funding to 2009 levels</t>
  </si>
  <si>
    <t>Dominion Post</t>
  </si>
  <si>
    <t>Public Service TV channel</t>
  </si>
  <si>
    <t>Double Refugee Quota</t>
  </si>
  <si>
    <t>Labour</t>
  </si>
  <si>
    <t>James Russell</t>
  </si>
  <si>
    <t>Eradicate pests from mainland</t>
  </si>
  <si>
    <t>Conservation</t>
  </si>
  <si>
    <t>Early Childhood Council</t>
  </si>
  <si>
    <t>Grey Power</t>
  </si>
  <si>
    <t>Raise Chch Accom Sup to Akl ($120 to $225)</t>
  </si>
  <si>
    <t>Human RC</t>
  </si>
  <si>
    <t>Andrew Little</t>
  </si>
  <si>
    <t>Restore rural road funding</t>
  </si>
  <si>
    <t>Transport</t>
  </si>
  <si>
    <t>Winston Peters</t>
  </si>
  <si>
    <t>Three free GP visits/year for retired</t>
  </si>
  <si>
    <t>Grant Robertson</t>
  </si>
  <si>
    <t>Restore KiwiSaver Kickstart</t>
  </si>
  <si>
    <t>Paid Parental Leave to 26 weeks</t>
  </si>
  <si>
    <t>Sue Moroney</t>
  </si>
  <si>
    <t>Pay Claim 3.8% DHBS</t>
  </si>
  <si>
    <t>Annette King</t>
  </si>
  <si>
    <t>Increase health funding for inflation and pop</t>
  </si>
  <si>
    <t>Dr Richard Flint</t>
  </si>
  <si>
    <t>24/7 gastric band surgery</t>
  </si>
  <si>
    <t>A Community Wage</t>
  </si>
  <si>
    <t>NZUSA</t>
  </si>
  <si>
    <t>Increase loan course costs from $1k to $5k</t>
  </si>
  <si>
    <t>Pietari Inkinen</t>
  </si>
  <si>
    <t>Increase NZSO funding by at least inflation</t>
  </si>
  <si>
    <t>Arts</t>
  </si>
  <si>
    <t>Family Planning</t>
  </si>
  <si>
    <t>Free female condoms</t>
  </si>
  <si>
    <t>Barbara Stewart</t>
  </si>
  <si>
    <t>$500 health insurance rebate per supergoldcard</t>
  </si>
  <si>
    <t>Pharmac</t>
  </si>
  <si>
    <t>Extra Funding</t>
  </si>
  <si>
    <t>Total Cost</t>
  </si>
  <si>
    <t>Top rate Change</t>
  </si>
  <si>
    <t>Top Rate Increase</t>
  </si>
  <si>
    <t>New Top Rate</t>
  </si>
  <si>
    <t>Company Rate Change</t>
  </si>
  <si>
    <t>Company Rate Increase</t>
  </si>
  <si>
    <t>New Company Rate</t>
  </si>
  <si>
    <t>Improve state housing</t>
  </si>
  <si>
    <t>Housing</t>
  </si>
  <si>
    <t>College of Midwives</t>
  </si>
  <si>
    <t>Pay Midwives 150% more as paid 60% less</t>
  </si>
  <si>
    <t>Allyson Locke</t>
  </si>
  <si>
    <t>Fund Myozyme</t>
  </si>
  <si>
    <t>NZ First</t>
  </si>
  <si>
    <t>Bail Out Silver Fern Farms</t>
  </si>
  <si>
    <t>Primary Industries</t>
  </si>
  <si>
    <t>Refugees are welcome collective</t>
  </si>
  <si>
    <t>Take in 10,000 refugees</t>
  </si>
  <si>
    <t>One Off Cost</t>
  </si>
  <si>
    <t>Change ratio from 1:5 to 1:3</t>
  </si>
  <si>
    <t>Estimate</t>
  </si>
  <si>
    <t>$1.48b x 6% + 23,000 x $220</t>
  </si>
  <si>
    <t>26,000 x $55k x 3.8%</t>
  </si>
  <si>
    <t>30,000 x 150 x 40% (eff subsidy)</t>
  </si>
  <si>
    <t>Increase sole benefits by $148 to $194 a week</t>
  </si>
  <si>
    <t>93,000 x $194 x 52</t>
  </si>
  <si>
    <t>240b x 0.7% - $542 million</t>
  </si>
  <si>
    <t>$300 m x 30%</t>
  </si>
  <si>
    <t>$132m x 25%</t>
  </si>
  <si>
    <t>Current cost $50m</t>
  </si>
  <si>
    <t>$24.6 b x 6% cost of capital</t>
  </si>
  <si>
    <t>Restore Adult Education Funding</t>
  </si>
  <si>
    <t>Grey Power Estimate</t>
  </si>
  <si>
    <t>32000 x $105 x 52</t>
  </si>
  <si>
    <t>Little figures</t>
  </si>
  <si>
    <t>650000 x $36 x 3</t>
  </si>
  <si>
    <t>180000 x $1000</t>
  </si>
  <si>
    <t>$138m for 12 week ext</t>
  </si>
  <si>
    <t>Infometrics figure</t>
  </si>
  <si>
    <t>$15k per op</t>
  </si>
  <si>
    <t>50,000 x $10 x 40 x 52</t>
  </si>
  <si>
    <t>192,000 x $4,000 x 40% (eff subsidy)</t>
  </si>
  <si>
    <t>Auditor-General figure</t>
  </si>
  <si>
    <t>$12 for 3 x 10,000 pp x 52</t>
  </si>
  <si>
    <t>650000 x $500</t>
  </si>
  <si>
    <t>Pharmac figure</t>
  </si>
  <si>
    <t>Labour figure</t>
  </si>
  <si>
    <t>147 million 70% midwives x 150%</t>
  </si>
  <si>
    <t>$500k x 11 people</t>
  </si>
  <si>
    <t>$100 million</t>
  </si>
  <si>
    <t>$50 milion x 10000/750</t>
  </si>
  <si>
    <t>$1.6 billion x 13/20</t>
  </si>
  <si>
    <t>GST Rate Change</t>
  </si>
  <si>
    <t>Hikoi for Homes</t>
  </si>
  <si>
    <t>$1 billion a year for public housing</t>
  </si>
  <si>
    <t>Explicit Demand</t>
  </si>
  <si>
    <t>Fund Keytruda</t>
  </si>
  <si>
    <t>330 x $150,000</t>
  </si>
  <si>
    <t>Increase welfare by $1 billion a year</t>
  </si>
  <si>
    <t>Own cost</t>
  </si>
  <si>
    <t>Fund education to eliminate school fees</t>
  </si>
  <si>
    <t>NZ herald figure on donations level</t>
  </si>
  <si>
    <t>Refugees as Survivors NZ</t>
  </si>
  <si>
    <t>37% increase in their funding</t>
  </si>
  <si>
    <t>$2 million x 37%</t>
  </si>
  <si>
    <t>Rachel Smalley</t>
  </si>
  <si>
    <t>Free sunscreen for low income families</t>
  </si>
  <si>
    <t>$200 per year x 300,000</t>
  </si>
  <si>
    <t>Abolish tertiary education fees</t>
  </si>
  <si>
    <t>Beneficiaries Advocacy and Information Services</t>
  </si>
  <si>
    <t>Free childcare for low income workers</t>
  </si>
  <si>
    <t>Double existing cost</t>
  </si>
  <si>
    <t>Cancer Society</t>
  </si>
  <si>
    <t>$100m more for Pharmac for new treatments</t>
  </si>
  <si>
    <t>Amount sought</t>
  </si>
  <si>
    <t>James Shaw</t>
  </si>
  <si>
    <t>Extra $100m capital for Kiwibank</t>
  </si>
  <si>
    <t>Jacinda Ardern</t>
  </si>
  <si>
    <t>Increase Arts Funding</t>
  </si>
  <si>
    <t>$11 million drop complained of</t>
  </si>
  <si>
    <t>Interest free loans for pensionsers</t>
  </si>
  <si>
    <t>$10,000 * 6% * 100,000</t>
  </si>
  <si>
    <t>Amnesty International, A Little</t>
  </si>
  <si>
    <t>$180 x 85,000</t>
  </si>
  <si>
    <t>Shamubeel Eaqub</t>
  </si>
  <si>
    <t>60,000 more state houses</t>
  </si>
  <si>
    <t>Julie-Anne Genter</t>
  </si>
  <si>
    <t>No FBT on electric cars</t>
  </si>
  <si>
    <t>Energy</t>
  </si>
  <si>
    <t>$8,000 x 50,000 cars</t>
  </si>
  <si>
    <t>$60,000 x $500,000 x 6%</t>
  </si>
  <si>
    <t>Type</t>
  </si>
  <si>
    <t>NGO</t>
  </si>
  <si>
    <t>Individual</t>
  </si>
  <si>
    <t>Media</t>
  </si>
  <si>
    <t>Labour, NGO</t>
  </si>
  <si>
    <t>Govt</t>
  </si>
  <si>
    <t>Union</t>
  </si>
  <si>
    <t>Greens</t>
  </si>
  <si>
    <t>Finance</t>
  </si>
  <si>
    <t>Free breast screening for women aged 70 to 74</t>
  </si>
  <si>
    <t>Child Poverty Action/UNICEF</t>
  </si>
  <si>
    <t>Costs by Group Type</t>
  </si>
  <si>
    <t>Govt agencies</t>
  </si>
  <si>
    <t>Individuals</t>
  </si>
  <si>
    <t>NGOs</t>
  </si>
  <si>
    <t>Unions</t>
  </si>
  <si>
    <t>Tax Needed</t>
  </si>
  <si>
    <t>Increase</t>
  </si>
  <si>
    <t>Top Rate</t>
  </si>
  <si>
    <t>Polly Gillepsie, Labour</t>
  </si>
  <si>
    <t>Media, Labour</t>
  </si>
  <si>
    <t>Labour's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</si>
</sst>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44" fontId="2" fillId="0" borderId="0" xfId="1" applyFont="1"/>
    <xf numFmtId="15" fontId="2" fillId="0" borderId="0" xfId="0" applyNumberFormat="1" applyFont="1"/>
    <xf numFmtId="164" fontId="2" fillId="0" borderId="0" xfId="1" applyNumberFormat="1" applyFont="1"/>
    <xf numFmtId="9" fontId="2" fillId="0" borderId="0" xfId="2" applyFont="1"/>
    <xf numFmtId="14" fontId="2" fillId="0" borderId="0" xfId="0" applyNumberFormat="1" applyFont="1"/>
    <xf numFmtId="44" fontId="2" fillId="0" borderId="0" xfId="0" applyNumberFormat="1" applyFont="1"/>
    <xf numFmtId="44" fontId="3" fillId="0" borderId="0" xfId="1" applyFont="1"/>
    <xf numFmtId="9" fontId="3" fillId="0" borderId="0" xfId="2" applyFont="1"/>
    <xf numFmtId="0" fontId="4" fillId="0" borderId="0" xfId="0" applyFont="1"/>
    <xf numFmtId="6" fontId="2" fillId="0" borderId="0" xfId="0" applyNumberFormat="1" applyFont="1"/>
    <xf numFmtId="165" fontId="2" fillId="0" borderId="0" xfId="2" applyNumberFormat="1" applyFont="1"/>
    <xf numFmtId="9" fontId="2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B1" workbookViewId="0">
      <selection activeCell="K9" sqref="K9"/>
    </sheetView>
  </sheetViews>
  <sheetFormatPr defaultRowHeight="11.25" x14ac:dyDescent="0.2"/>
  <cols>
    <col min="1" max="1" width="9" style="3" bestFit="1" customWidth="1"/>
    <col min="2" max="2" width="23.42578125" style="3" bestFit="1" customWidth="1"/>
    <col min="3" max="3" width="23.42578125" style="3" customWidth="1"/>
    <col min="4" max="4" width="34.42578125" style="3" bestFit="1" customWidth="1"/>
    <col min="5" max="6" width="13.5703125" style="3" bestFit="1" customWidth="1"/>
    <col min="7" max="7" width="14.85546875" style="7" bestFit="1" customWidth="1"/>
    <col min="8" max="8" width="25.5703125" style="3" bestFit="1" customWidth="1"/>
    <col min="9" max="9" width="16.28515625" style="3" customWidth="1"/>
    <col min="10" max="10" width="17" style="3" bestFit="1" customWidth="1"/>
    <col min="11" max="11" width="15.7109375" style="5" bestFit="1" customWidth="1"/>
    <col min="12" max="12" width="9.140625" style="3"/>
    <col min="13" max="13" width="10.42578125" style="3" bestFit="1" customWidth="1"/>
    <col min="14" max="16384" width="9.140625" style="3"/>
  </cols>
  <sheetData>
    <row r="1" spans="1:13" x14ac:dyDescent="0.2">
      <c r="A1" s="3" t="s">
        <v>0</v>
      </c>
      <c r="B1" s="3" t="s">
        <v>1</v>
      </c>
      <c r="C1" s="3" t="s">
        <v>157</v>
      </c>
      <c r="D1" s="4" t="s">
        <v>3</v>
      </c>
      <c r="E1" s="4" t="s">
        <v>4</v>
      </c>
      <c r="F1" s="4" t="s">
        <v>84</v>
      </c>
      <c r="G1" s="4" t="s">
        <v>6</v>
      </c>
      <c r="H1" s="4" t="s">
        <v>86</v>
      </c>
    </row>
    <row r="2" spans="1:13" x14ac:dyDescent="0.2">
      <c r="A2" s="9">
        <v>42234</v>
      </c>
      <c r="B2" s="3" t="s">
        <v>64</v>
      </c>
      <c r="C2" s="3" t="s">
        <v>162</v>
      </c>
      <c r="D2" s="3" t="s">
        <v>65</v>
      </c>
      <c r="E2" s="3" t="s">
        <v>11</v>
      </c>
      <c r="F2" s="7"/>
      <c r="G2" s="7">
        <v>6000000</v>
      </c>
      <c r="H2" s="3" t="s">
        <v>111</v>
      </c>
    </row>
    <row r="3" spans="1:13" x14ac:dyDescent="0.2">
      <c r="A3" s="9">
        <v>42166</v>
      </c>
      <c r="B3" s="3" t="s">
        <v>39</v>
      </c>
      <c r="C3" s="3" t="s">
        <v>162</v>
      </c>
      <c r="D3" s="3" t="s">
        <v>38</v>
      </c>
      <c r="E3" s="3" t="s">
        <v>16</v>
      </c>
      <c r="F3" s="7"/>
      <c r="G3" s="7">
        <f>32000*105*52</f>
        <v>174720000</v>
      </c>
      <c r="H3" s="3" t="s">
        <v>99</v>
      </c>
      <c r="J3" s="4" t="s">
        <v>66</v>
      </c>
      <c r="K3" s="11">
        <f>SUM(G2:G147)</f>
        <v>14486222100</v>
      </c>
    </row>
    <row r="4" spans="1:13" x14ac:dyDescent="0.2">
      <c r="A4" s="9">
        <v>42495</v>
      </c>
      <c r="B4" s="3" t="s">
        <v>152</v>
      </c>
      <c r="C4" s="3" t="s">
        <v>164</v>
      </c>
      <c r="D4" s="3" t="s">
        <v>153</v>
      </c>
      <c r="E4" s="3" t="s">
        <v>154</v>
      </c>
      <c r="G4" s="7">
        <f>8000*50000</f>
        <v>400000000</v>
      </c>
      <c r="H4" s="3" t="s">
        <v>155</v>
      </c>
    </row>
    <row r="5" spans="1:13" x14ac:dyDescent="0.2">
      <c r="A5" s="9">
        <v>42464</v>
      </c>
      <c r="B5" s="3" t="s">
        <v>141</v>
      </c>
      <c r="C5" s="3" t="s">
        <v>164</v>
      </c>
      <c r="D5" s="3" t="s">
        <v>142</v>
      </c>
      <c r="E5" s="3" t="s">
        <v>165</v>
      </c>
      <c r="F5" s="3">
        <v>100000000</v>
      </c>
      <c r="G5" s="7">
        <f>100000000*6%</f>
        <v>6000000</v>
      </c>
      <c r="H5" s="3" t="s">
        <v>115</v>
      </c>
      <c r="J5" s="3" t="s">
        <v>67</v>
      </c>
      <c r="K5" s="5">
        <v>215000000</v>
      </c>
      <c r="M5" s="3">
        <f>G38/K5</f>
        <v>0.32651162790697674</v>
      </c>
    </row>
    <row r="6" spans="1:13" x14ac:dyDescent="0.2">
      <c r="A6" s="9">
        <v>42227</v>
      </c>
      <c r="B6" s="3" t="s">
        <v>57</v>
      </c>
      <c r="C6" s="3" t="s">
        <v>159</v>
      </c>
      <c r="D6" s="3" t="s">
        <v>58</v>
      </c>
      <c r="E6" s="3" t="s">
        <v>59</v>
      </c>
      <c r="F6" s="7"/>
      <c r="G6" s="7">
        <v>3000000</v>
      </c>
      <c r="H6" s="3" t="s">
        <v>108</v>
      </c>
      <c r="J6" s="3" t="s">
        <v>68</v>
      </c>
      <c r="K6" s="8">
        <f>K3/K5/100</f>
        <v>0.67377777209302325</v>
      </c>
    </row>
    <row r="7" spans="1:13" x14ac:dyDescent="0.2">
      <c r="A7" s="9">
        <v>42160</v>
      </c>
      <c r="B7" s="3" t="s">
        <v>33</v>
      </c>
      <c r="C7" s="3" t="s">
        <v>159</v>
      </c>
      <c r="D7" s="3" t="s">
        <v>34</v>
      </c>
      <c r="E7" s="3" t="s">
        <v>35</v>
      </c>
      <c r="F7" s="7">
        <v>24600000000</v>
      </c>
      <c r="G7" s="7">
        <f>F7*6%</f>
        <v>1476000000</v>
      </c>
      <c r="H7" s="3" t="s">
        <v>96</v>
      </c>
      <c r="J7" s="4" t="s">
        <v>69</v>
      </c>
      <c r="K7" s="12">
        <f>0.33+K6</f>
        <v>1.0037777720930232</v>
      </c>
    </row>
    <row r="8" spans="1:13" x14ac:dyDescent="0.2">
      <c r="A8" s="9">
        <v>42164</v>
      </c>
      <c r="B8" s="3" t="s">
        <v>37</v>
      </c>
      <c r="C8" s="3" t="s">
        <v>159</v>
      </c>
      <c r="D8" s="3" t="s">
        <v>97</v>
      </c>
      <c r="E8" s="3" t="s">
        <v>5</v>
      </c>
      <c r="F8" s="7"/>
      <c r="G8" s="7">
        <v>60000000</v>
      </c>
      <c r="H8" s="3" t="s">
        <v>98</v>
      </c>
    </row>
    <row r="9" spans="1:13" x14ac:dyDescent="0.2">
      <c r="A9" s="9">
        <v>42217</v>
      </c>
      <c r="B9" s="3" t="s">
        <v>52</v>
      </c>
      <c r="C9" s="3" t="s">
        <v>159</v>
      </c>
      <c r="D9" s="3" t="s">
        <v>53</v>
      </c>
      <c r="E9" s="3" t="s">
        <v>11</v>
      </c>
      <c r="F9" s="7"/>
      <c r="G9" s="7">
        <f>15000*10*52*10</f>
        <v>78000000</v>
      </c>
      <c r="H9" s="3" t="s">
        <v>105</v>
      </c>
      <c r="J9" s="3" t="s">
        <v>70</v>
      </c>
      <c r="K9" s="5">
        <v>225000000</v>
      </c>
    </row>
    <row r="10" spans="1:13" x14ac:dyDescent="0.2">
      <c r="A10" s="9">
        <v>42249</v>
      </c>
      <c r="B10" s="3" t="s">
        <v>77</v>
      </c>
      <c r="C10" s="3" t="s">
        <v>159</v>
      </c>
      <c r="D10" s="3" t="s">
        <v>78</v>
      </c>
      <c r="E10" s="3" t="s">
        <v>11</v>
      </c>
      <c r="F10" s="7"/>
      <c r="G10" s="7">
        <f>500000*11</f>
        <v>5500000</v>
      </c>
      <c r="H10" s="3" t="s">
        <v>114</v>
      </c>
      <c r="I10" s="10"/>
      <c r="J10" s="3" t="s">
        <v>71</v>
      </c>
      <c r="K10" s="8">
        <f>K3/K9/100</f>
        <v>0.64383209333333336</v>
      </c>
    </row>
    <row r="11" spans="1:13" x14ac:dyDescent="0.2">
      <c r="A11" s="6">
        <v>42153</v>
      </c>
      <c r="B11" s="3" t="s">
        <v>24</v>
      </c>
      <c r="C11" s="3" t="s">
        <v>159</v>
      </c>
      <c r="D11" s="3" t="s">
        <v>26</v>
      </c>
      <c r="E11" s="3" t="s">
        <v>16</v>
      </c>
      <c r="F11" s="7"/>
      <c r="G11" s="7">
        <f>300000000*30%</f>
        <v>90000000</v>
      </c>
      <c r="H11" s="3" t="s">
        <v>93</v>
      </c>
      <c r="J11" s="4" t="s">
        <v>72</v>
      </c>
      <c r="K11" s="12">
        <f>0.28+K10</f>
        <v>0.92383209333333338</v>
      </c>
    </row>
    <row r="12" spans="1:13" x14ac:dyDescent="0.2">
      <c r="A12" s="9">
        <v>42496</v>
      </c>
      <c r="B12" s="13" t="s">
        <v>150</v>
      </c>
      <c r="C12" s="13" t="s">
        <v>159</v>
      </c>
      <c r="D12" s="3" t="s">
        <v>151</v>
      </c>
      <c r="F12" s="3">
        <f>60000*500000</f>
        <v>30000000000</v>
      </c>
      <c r="G12" s="7">
        <f>F12*6%</f>
        <v>1800000000</v>
      </c>
      <c r="H12" s="3" t="s">
        <v>156</v>
      </c>
    </row>
    <row r="13" spans="1:13" x14ac:dyDescent="0.2">
      <c r="A13" s="9">
        <v>42486</v>
      </c>
      <c r="B13" s="3" t="s">
        <v>143</v>
      </c>
      <c r="C13" s="3" t="s">
        <v>32</v>
      </c>
      <c r="D13" s="3" t="s">
        <v>144</v>
      </c>
      <c r="E13" s="3" t="s">
        <v>59</v>
      </c>
      <c r="G13" s="7">
        <v>11000000</v>
      </c>
      <c r="H13" s="3" t="s">
        <v>145</v>
      </c>
      <c r="J13" s="3" t="s">
        <v>118</v>
      </c>
      <c r="K13" s="5">
        <v>1005000000</v>
      </c>
    </row>
    <row r="14" spans="1:13" x14ac:dyDescent="0.2">
      <c r="A14" s="6">
        <v>42153</v>
      </c>
      <c r="B14" s="3" t="s">
        <v>25</v>
      </c>
      <c r="C14" s="3" t="s">
        <v>32</v>
      </c>
      <c r="D14" s="3" t="s">
        <v>28</v>
      </c>
      <c r="E14" s="3" t="s">
        <v>27</v>
      </c>
      <c r="F14" s="7"/>
      <c r="G14" s="7">
        <f>132000000*25%</f>
        <v>33000000</v>
      </c>
      <c r="H14" s="3" t="s">
        <v>94</v>
      </c>
      <c r="J14" s="3" t="s">
        <v>71</v>
      </c>
      <c r="K14" s="8">
        <f>K3/K13/100</f>
        <v>0.14414151343283582</v>
      </c>
    </row>
    <row r="15" spans="1:13" x14ac:dyDescent="0.2">
      <c r="A15" s="9">
        <v>42389</v>
      </c>
      <c r="B15" s="3" t="s">
        <v>40</v>
      </c>
      <c r="C15" s="3" t="s">
        <v>32</v>
      </c>
      <c r="D15" s="3" t="s">
        <v>126</v>
      </c>
      <c r="E15" s="3" t="s">
        <v>5</v>
      </c>
      <c r="G15" s="7">
        <v>161000000</v>
      </c>
      <c r="H15" s="3" t="s">
        <v>127</v>
      </c>
      <c r="J15" s="4" t="s">
        <v>72</v>
      </c>
      <c r="K15" s="12">
        <f>0.15+K14</f>
        <v>0.29414151343283579</v>
      </c>
    </row>
    <row r="16" spans="1:13" x14ac:dyDescent="0.2">
      <c r="A16" s="9">
        <v>42214</v>
      </c>
      <c r="B16" s="3" t="s">
        <v>50</v>
      </c>
      <c r="C16" s="3" t="s">
        <v>32</v>
      </c>
      <c r="D16" s="3" t="s">
        <v>51</v>
      </c>
      <c r="E16" s="3" t="s">
        <v>11</v>
      </c>
      <c r="F16" s="7"/>
      <c r="G16" s="7">
        <v>485000000</v>
      </c>
      <c r="H16" s="3" t="s">
        <v>104</v>
      </c>
    </row>
    <row r="17" spans="1:13" x14ac:dyDescent="0.2">
      <c r="A17" s="9">
        <v>42345</v>
      </c>
      <c r="B17" s="3" t="s">
        <v>40</v>
      </c>
      <c r="C17" s="3" t="s">
        <v>32</v>
      </c>
      <c r="D17" s="3" t="s">
        <v>122</v>
      </c>
      <c r="E17" s="3" t="s">
        <v>11</v>
      </c>
      <c r="G17" s="7">
        <f>150000*330</f>
        <v>49500000</v>
      </c>
      <c r="H17" s="3" t="s">
        <v>123</v>
      </c>
    </row>
    <row r="18" spans="1:13" x14ac:dyDescent="0.2">
      <c r="A18" s="9">
        <v>42495</v>
      </c>
      <c r="B18" s="3" t="s">
        <v>143</v>
      </c>
      <c r="C18" s="3" t="s">
        <v>32</v>
      </c>
      <c r="D18" s="3" t="s">
        <v>166</v>
      </c>
      <c r="E18" s="3" t="s">
        <v>11</v>
      </c>
      <c r="G18" s="7">
        <f>85000*180</f>
        <v>15300000</v>
      </c>
      <c r="H18" s="14" t="s">
        <v>149</v>
      </c>
      <c r="J18" s="3" t="s">
        <v>168</v>
      </c>
      <c r="K18" s="5" t="s">
        <v>173</v>
      </c>
      <c r="L18" s="3" t="s">
        <v>174</v>
      </c>
      <c r="M18" s="3" t="s">
        <v>175</v>
      </c>
    </row>
    <row r="19" spans="1:13" x14ac:dyDescent="0.2">
      <c r="A19" s="9">
        <v>42244</v>
      </c>
      <c r="B19" s="3" t="s">
        <v>40</v>
      </c>
      <c r="C19" s="3" t="s">
        <v>32</v>
      </c>
      <c r="D19" s="3" t="s">
        <v>73</v>
      </c>
      <c r="E19" s="3" t="s">
        <v>74</v>
      </c>
      <c r="F19" s="7"/>
      <c r="G19" s="7">
        <v>30000000</v>
      </c>
      <c r="H19" s="3" t="s">
        <v>112</v>
      </c>
    </row>
    <row r="20" spans="1:13" x14ac:dyDescent="0.2">
      <c r="A20" s="9">
        <v>42181</v>
      </c>
      <c r="B20" s="3" t="s">
        <v>45</v>
      </c>
      <c r="C20" s="3" t="s">
        <v>32</v>
      </c>
      <c r="D20" s="3" t="s">
        <v>46</v>
      </c>
      <c r="E20" s="3" t="s">
        <v>14</v>
      </c>
      <c r="F20" s="7"/>
      <c r="G20" s="7">
        <f>180000*1000</f>
        <v>180000000</v>
      </c>
      <c r="H20" s="3" t="s">
        <v>102</v>
      </c>
      <c r="J20" s="3" t="s">
        <v>169</v>
      </c>
      <c r="K20" s="5">
        <f>G2+G3</f>
        <v>180720000</v>
      </c>
      <c r="L20" s="15">
        <f>K20/215000000/100</f>
        <v>8.4055813953488375E-3</v>
      </c>
      <c r="M20" s="16">
        <f>33%+L20</f>
        <v>0.33840558139534888</v>
      </c>
    </row>
    <row r="21" spans="1:13" x14ac:dyDescent="0.2">
      <c r="A21" s="9">
        <v>42167</v>
      </c>
      <c r="B21" s="3" t="s">
        <v>40</v>
      </c>
      <c r="C21" s="3" t="s">
        <v>32</v>
      </c>
      <c r="D21" s="3" t="s">
        <v>41</v>
      </c>
      <c r="E21" s="3" t="s">
        <v>42</v>
      </c>
      <c r="F21" s="7"/>
      <c r="G21" s="7">
        <v>163000000</v>
      </c>
      <c r="H21" s="3" t="s">
        <v>100</v>
      </c>
      <c r="J21" s="3" t="s">
        <v>164</v>
      </c>
      <c r="K21" s="5">
        <f>G4+G5</f>
        <v>406000000</v>
      </c>
      <c r="L21" s="15">
        <f t="shared" ref="L21:L27" si="0">K21/215000000/100</f>
        <v>1.8883720930232557E-2</v>
      </c>
      <c r="M21" s="16">
        <f t="shared" ref="M21:M27" si="1">33%+L21</f>
        <v>0.34888372093023257</v>
      </c>
    </row>
    <row r="22" spans="1:13" x14ac:dyDescent="0.2">
      <c r="A22" s="9">
        <v>42208</v>
      </c>
      <c r="B22" s="3" t="s">
        <v>48</v>
      </c>
      <c r="C22" s="3" t="s">
        <v>32</v>
      </c>
      <c r="D22" s="3" t="s">
        <v>47</v>
      </c>
      <c r="E22" s="3" t="s">
        <v>16</v>
      </c>
      <c r="F22" s="7"/>
      <c r="G22" s="7">
        <f>138000000*8/12</f>
        <v>92000000</v>
      </c>
      <c r="H22" s="3" t="s">
        <v>103</v>
      </c>
      <c r="J22" s="3" t="s">
        <v>170</v>
      </c>
      <c r="K22" s="5">
        <f>SUM(G6:G12)</f>
        <v>3512500000</v>
      </c>
      <c r="L22" s="15">
        <f t="shared" si="0"/>
        <v>0.16337209302325584</v>
      </c>
      <c r="M22" s="16">
        <f t="shared" si="1"/>
        <v>0.49337209302325585</v>
      </c>
    </row>
    <row r="23" spans="1:13" x14ac:dyDescent="0.2">
      <c r="A23" s="9">
        <v>42158</v>
      </c>
      <c r="B23" s="3" t="s">
        <v>148</v>
      </c>
      <c r="C23" s="3" t="s">
        <v>161</v>
      </c>
      <c r="D23" s="3" t="s">
        <v>31</v>
      </c>
      <c r="E23" s="3" t="s">
        <v>32</v>
      </c>
      <c r="F23" s="7"/>
      <c r="G23" s="7">
        <v>50000000</v>
      </c>
      <c r="H23" s="3" t="s">
        <v>95</v>
      </c>
      <c r="J23" s="3" t="s">
        <v>32</v>
      </c>
      <c r="K23" s="5">
        <f>SUM(G13:G23)+G26</f>
        <v>2469800000</v>
      </c>
      <c r="L23" s="15">
        <f t="shared" si="0"/>
        <v>0.11487441860465117</v>
      </c>
      <c r="M23" s="16">
        <f t="shared" si="1"/>
        <v>0.44487441860465116</v>
      </c>
    </row>
    <row r="24" spans="1:13" x14ac:dyDescent="0.2">
      <c r="A24" s="6">
        <v>42154</v>
      </c>
      <c r="B24" s="3" t="s">
        <v>29</v>
      </c>
      <c r="C24" s="3" t="s">
        <v>160</v>
      </c>
      <c r="D24" s="3" t="s">
        <v>30</v>
      </c>
      <c r="E24" s="3" t="s">
        <v>27</v>
      </c>
      <c r="F24" s="7"/>
      <c r="G24" s="7">
        <v>300000000</v>
      </c>
      <c r="H24" s="3" t="s">
        <v>86</v>
      </c>
      <c r="J24" s="3" t="s">
        <v>160</v>
      </c>
      <c r="K24" s="5">
        <f>SUM(G24:G26)</f>
        <v>1560000000</v>
      </c>
      <c r="L24" s="15">
        <f t="shared" si="0"/>
        <v>7.2558139534883714E-2</v>
      </c>
      <c r="M24" s="16">
        <f t="shared" si="1"/>
        <v>0.40255813953488373</v>
      </c>
    </row>
    <row r="25" spans="1:13" x14ac:dyDescent="0.2">
      <c r="A25" s="9">
        <v>42394</v>
      </c>
      <c r="B25" s="3" t="s">
        <v>131</v>
      </c>
      <c r="C25" s="3" t="s">
        <v>160</v>
      </c>
      <c r="D25" s="3" t="s">
        <v>132</v>
      </c>
      <c r="E25" s="3" t="s">
        <v>11</v>
      </c>
      <c r="G25" s="7">
        <f>200*300000</f>
        <v>60000000</v>
      </c>
      <c r="H25" s="3" t="s">
        <v>133</v>
      </c>
      <c r="J25" s="3" t="s">
        <v>171</v>
      </c>
      <c r="K25" s="5">
        <f>SUM(G27:G37)+G23</f>
        <v>5554168000</v>
      </c>
      <c r="L25" s="15">
        <f t="shared" si="0"/>
        <v>0.2583333953488372</v>
      </c>
      <c r="M25" s="16">
        <f t="shared" si="1"/>
        <v>0.58833339534883722</v>
      </c>
    </row>
    <row r="26" spans="1:13" x14ac:dyDescent="0.2">
      <c r="A26" s="9">
        <v>42394</v>
      </c>
      <c r="B26" s="3" t="s">
        <v>176</v>
      </c>
      <c r="C26" s="3" t="s">
        <v>177</v>
      </c>
      <c r="D26" s="3" t="s">
        <v>134</v>
      </c>
      <c r="E26" s="3" t="s">
        <v>10</v>
      </c>
      <c r="G26" s="7">
        <v>1200000000</v>
      </c>
      <c r="H26" s="3" t="s">
        <v>178</v>
      </c>
      <c r="J26" s="3" t="s">
        <v>79</v>
      </c>
      <c r="K26" s="5">
        <f>SUM(G38:G41)</f>
        <v>1441200000</v>
      </c>
      <c r="L26" s="15">
        <f t="shared" si="0"/>
        <v>6.7032558139534876E-2</v>
      </c>
      <c r="M26" s="16">
        <f t="shared" si="1"/>
        <v>0.39703255813953486</v>
      </c>
    </row>
    <row r="27" spans="1:13" x14ac:dyDescent="0.2">
      <c r="A27" s="9">
        <v>42285</v>
      </c>
      <c r="B27" s="3" t="s">
        <v>36</v>
      </c>
      <c r="C27" s="3" t="s">
        <v>158</v>
      </c>
      <c r="D27" s="3" t="s">
        <v>85</v>
      </c>
      <c r="E27" s="3" t="s">
        <v>5</v>
      </c>
      <c r="F27" s="7"/>
      <c r="G27" s="7">
        <f>1600000000*13/20</f>
        <v>1040000000</v>
      </c>
      <c r="H27" s="3" t="s">
        <v>117</v>
      </c>
      <c r="J27" s="3" t="s">
        <v>172</v>
      </c>
      <c r="K27" s="5">
        <f>SUM(G42:G46)</f>
        <v>611834100</v>
      </c>
      <c r="L27" s="15">
        <f t="shared" si="0"/>
        <v>2.8457400000000001E-2</v>
      </c>
      <c r="M27" s="16">
        <f t="shared" si="1"/>
        <v>0.35845740000000004</v>
      </c>
    </row>
    <row r="28" spans="1:13" x14ac:dyDescent="0.2">
      <c r="A28" s="6">
        <v>42146</v>
      </c>
      <c r="B28" s="3" t="s">
        <v>17</v>
      </c>
      <c r="C28" s="3" t="s">
        <v>158</v>
      </c>
      <c r="D28" s="3" t="s">
        <v>18</v>
      </c>
      <c r="E28" s="3" t="s">
        <v>19</v>
      </c>
      <c r="F28" s="7"/>
      <c r="G28" s="7">
        <f>240000000000*0.7%-542000000</f>
        <v>1137999999.9999998</v>
      </c>
      <c r="H28" s="3" t="s">
        <v>92</v>
      </c>
    </row>
    <row r="29" spans="1:13" x14ac:dyDescent="0.2">
      <c r="A29" s="9">
        <v>42229</v>
      </c>
      <c r="B29" s="3" t="s">
        <v>60</v>
      </c>
      <c r="C29" s="3" t="s">
        <v>158</v>
      </c>
      <c r="D29" s="3" t="s">
        <v>61</v>
      </c>
      <c r="E29" s="3" t="s">
        <v>11</v>
      </c>
      <c r="F29" s="7"/>
      <c r="G29" s="7">
        <f>4*10000*52</f>
        <v>2080000</v>
      </c>
      <c r="H29" s="3" t="s">
        <v>109</v>
      </c>
    </row>
    <row r="30" spans="1:13" x14ac:dyDescent="0.2">
      <c r="A30" s="9">
        <v>42439</v>
      </c>
      <c r="B30" s="3" t="s">
        <v>138</v>
      </c>
      <c r="C30" s="3" t="s">
        <v>158</v>
      </c>
      <c r="D30" s="3" t="s">
        <v>139</v>
      </c>
      <c r="E30" s="3" t="s">
        <v>11</v>
      </c>
      <c r="G30" s="7">
        <v>100000000</v>
      </c>
      <c r="H30" s="3" t="s">
        <v>140</v>
      </c>
    </row>
    <row r="31" spans="1:13" x14ac:dyDescent="0.2">
      <c r="A31" s="9">
        <v>42325</v>
      </c>
      <c r="B31" s="3" t="s">
        <v>119</v>
      </c>
      <c r="C31" s="3" t="s">
        <v>158</v>
      </c>
      <c r="D31" s="3" t="s">
        <v>120</v>
      </c>
      <c r="E31" s="3" t="s">
        <v>74</v>
      </c>
      <c r="G31" s="7">
        <v>1000000000</v>
      </c>
      <c r="H31" s="3" t="s">
        <v>121</v>
      </c>
      <c r="I31" s="7"/>
    </row>
    <row r="32" spans="1:13" x14ac:dyDescent="0.2">
      <c r="A32" s="9">
        <v>42487</v>
      </c>
      <c r="B32" s="3" t="s">
        <v>37</v>
      </c>
      <c r="C32" s="3" t="s">
        <v>158</v>
      </c>
      <c r="D32" s="3" t="s">
        <v>146</v>
      </c>
      <c r="E32" s="3" t="s">
        <v>74</v>
      </c>
      <c r="G32" s="7">
        <f>100000*10000*6%</f>
        <v>60000000</v>
      </c>
      <c r="H32" s="3" t="s">
        <v>147</v>
      </c>
      <c r="I32" s="7"/>
    </row>
    <row r="33" spans="1:8" x14ac:dyDescent="0.2">
      <c r="A33" s="9">
        <v>42266</v>
      </c>
      <c r="B33" s="3" t="s">
        <v>82</v>
      </c>
      <c r="C33" s="3" t="s">
        <v>158</v>
      </c>
      <c r="D33" s="3" t="s">
        <v>83</v>
      </c>
      <c r="E33" s="3" t="s">
        <v>32</v>
      </c>
      <c r="F33" s="7">
        <f>50000000*10000/750</f>
        <v>666666666.66666663</v>
      </c>
      <c r="G33" s="7">
        <f>F33*6%</f>
        <v>39999999.999999993</v>
      </c>
      <c r="H33" s="3" t="s">
        <v>116</v>
      </c>
    </row>
    <row r="34" spans="1:8" x14ac:dyDescent="0.2">
      <c r="A34" s="9">
        <v>42389</v>
      </c>
      <c r="B34" s="3" t="s">
        <v>128</v>
      </c>
      <c r="C34" s="3" t="s">
        <v>158</v>
      </c>
      <c r="D34" s="3" t="s">
        <v>129</v>
      </c>
      <c r="E34" s="3" t="s">
        <v>32</v>
      </c>
      <c r="G34" s="7">
        <f>2000000*37%</f>
        <v>740000</v>
      </c>
      <c r="H34" s="3" t="s">
        <v>130</v>
      </c>
    </row>
    <row r="35" spans="1:8" x14ac:dyDescent="0.2">
      <c r="A35" s="6">
        <v>42146</v>
      </c>
      <c r="B35" s="3" t="s">
        <v>15</v>
      </c>
      <c r="C35" s="3" t="s">
        <v>158</v>
      </c>
      <c r="D35" s="3" t="s">
        <v>90</v>
      </c>
      <c r="E35" s="3" t="s">
        <v>16</v>
      </c>
      <c r="F35" s="7">
        <f>67887*148*52</f>
        <v>522458352</v>
      </c>
      <c r="G35" s="7">
        <f>93000*193*52</f>
        <v>933348000</v>
      </c>
      <c r="H35" s="3" t="s">
        <v>91</v>
      </c>
    </row>
    <row r="36" spans="1:8" x14ac:dyDescent="0.2">
      <c r="A36" s="9">
        <v>42368</v>
      </c>
      <c r="B36" s="3" t="s">
        <v>167</v>
      </c>
      <c r="C36" s="3" t="s">
        <v>158</v>
      </c>
      <c r="D36" s="3" t="s">
        <v>124</v>
      </c>
      <c r="E36" s="3" t="s">
        <v>16</v>
      </c>
      <c r="G36" s="7">
        <v>1000000000</v>
      </c>
      <c r="H36" s="3" t="s">
        <v>125</v>
      </c>
    </row>
    <row r="37" spans="1:8" x14ac:dyDescent="0.2">
      <c r="A37" s="9">
        <v>42395</v>
      </c>
      <c r="B37" s="13" t="s">
        <v>135</v>
      </c>
      <c r="C37" s="13" t="s">
        <v>158</v>
      </c>
      <c r="D37" s="3" t="s">
        <v>136</v>
      </c>
      <c r="E37" s="3" t="s">
        <v>16</v>
      </c>
      <c r="G37" s="7">
        <v>190000000</v>
      </c>
      <c r="H37" s="3" t="s">
        <v>137</v>
      </c>
    </row>
    <row r="38" spans="1:8" x14ac:dyDescent="0.2">
      <c r="A38" s="9">
        <v>42180</v>
      </c>
      <c r="B38" s="3" t="s">
        <v>43</v>
      </c>
      <c r="C38" s="3" t="s">
        <v>79</v>
      </c>
      <c r="D38" s="3" t="s">
        <v>44</v>
      </c>
      <c r="E38" s="3" t="s">
        <v>11</v>
      </c>
      <c r="F38" s="7"/>
      <c r="G38" s="7">
        <f>650000*36*3</f>
        <v>70200000</v>
      </c>
      <c r="H38" s="3" t="s">
        <v>101</v>
      </c>
    </row>
    <row r="39" spans="1:8" x14ac:dyDescent="0.2">
      <c r="A39" s="9">
        <v>42229</v>
      </c>
      <c r="B39" s="3" t="s">
        <v>62</v>
      </c>
      <c r="C39" s="3" t="s">
        <v>79</v>
      </c>
      <c r="D39" s="3" t="s">
        <v>63</v>
      </c>
      <c r="E39" s="3" t="s">
        <v>11</v>
      </c>
      <c r="F39" s="7"/>
      <c r="G39" s="7">
        <f>650000*500</f>
        <v>325000000</v>
      </c>
      <c r="H39" s="3" t="s">
        <v>110</v>
      </c>
    </row>
    <row r="40" spans="1:8" x14ac:dyDescent="0.2">
      <c r="A40" s="9">
        <v>42262</v>
      </c>
      <c r="B40" s="3" t="s">
        <v>79</v>
      </c>
      <c r="C40" s="3" t="s">
        <v>79</v>
      </c>
      <c r="D40" s="3" t="s">
        <v>80</v>
      </c>
      <c r="E40" s="3" t="s">
        <v>81</v>
      </c>
      <c r="F40" s="7">
        <v>100000000</v>
      </c>
      <c r="G40" s="7">
        <f>100000000*6%</f>
        <v>6000000</v>
      </c>
      <c r="H40" s="3" t="s">
        <v>115</v>
      </c>
    </row>
    <row r="41" spans="1:8" x14ac:dyDescent="0.2">
      <c r="A41" s="9">
        <v>42218</v>
      </c>
      <c r="B41" s="3" t="s">
        <v>43</v>
      </c>
      <c r="C41" s="3" t="s">
        <v>79</v>
      </c>
      <c r="D41" s="3" t="s">
        <v>54</v>
      </c>
      <c r="E41" s="3" t="s">
        <v>16</v>
      </c>
      <c r="F41" s="7"/>
      <c r="G41" s="7">
        <f>50000*10*40*52</f>
        <v>1040000000</v>
      </c>
      <c r="H41" s="3" t="s">
        <v>106</v>
      </c>
    </row>
    <row r="42" spans="1:8" x14ac:dyDescent="0.2">
      <c r="A42" s="6">
        <v>42150</v>
      </c>
      <c r="B42" s="3" t="s">
        <v>2</v>
      </c>
      <c r="C42" s="3" t="s">
        <v>163</v>
      </c>
      <c r="D42" s="3" t="s">
        <v>20</v>
      </c>
      <c r="E42" s="3" t="s">
        <v>5</v>
      </c>
      <c r="F42" s="7"/>
      <c r="G42" s="7">
        <f>1484735000*6%+23000*220</f>
        <v>94144100</v>
      </c>
      <c r="H42" s="3" t="s">
        <v>87</v>
      </c>
    </row>
    <row r="43" spans="1:8" x14ac:dyDescent="0.2">
      <c r="A43" s="6">
        <v>42150</v>
      </c>
      <c r="B43" s="3" t="s">
        <v>7</v>
      </c>
      <c r="C43" s="3" t="s">
        <v>163</v>
      </c>
      <c r="D43" s="3" t="s">
        <v>49</v>
      </c>
      <c r="E43" s="3" t="s">
        <v>11</v>
      </c>
      <c r="F43" s="7"/>
      <c r="G43" s="7">
        <f>26000*55000*3.8%</f>
        <v>54340000</v>
      </c>
      <c r="H43" s="3" t="s">
        <v>88</v>
      </c>
    </row>
    <row r="44" spans="1:8" x14ac:dyDescent="0.2">
      <c r="A44" s="9">
        <v>42247</v>
      </c>
      <c r="B44" s="3" t="s">
        <v>75</v>
      </c>
      <c r="C44" s="3" t="s">
        <v>163</v>
      </c>
      <c r="D44" s="3" t="s">
        <v>76</v>
      </c>
      <c r="E44" s="3" t="s">
        <v>11</v>
      </c>
      <c r="F44" s="7"/>
      <c r="G44" s="7">
        <f>147000000*70%*150%</f>
        <v>154350000</v>
      </c>
      <c r="H44" s="3" t="s">
        <v>113</v>
      </c>
    </row>
    <row r="45" spans="1:8" x14ac:dyDescent="0.2">
      <c r="A45" s="6">
        <v>42148</v>
      </c>
      <c r="B45" s="3" t="s">
        <v>8</v>
      </c>
      <c r="C45" s="3" t="s">
        <v>163</v>
      </c>
      <c r="D45" s="3" t="s">
        <v>9</v>
      </c>
      <c r="E45" s="3" t="s">
        <v>10</v>
      </c>
      <c r="F45" s="7"/>
      <c r="G45" s="7">
        <f>30000*150*40%</f>
        <v>1800000</v>
      </c>
      <c r="H45" s="3" t="s">
        <v>89</v>
      </c>
    </row>
    <row r="46" spans="1:8" x14ac:dyDescent="0.2">
      <c r="A46" s="9">
        <v>42222</v>
      </c>
      <c r="B46" s="3" t="s">
        <v>55</v>
      </c>
      <c r="C46" s="3" t="s">
        <v>163</v>
      </c>
      <c r="D46" s="3" t="s">
        <v>56</v>
      </c>
      <c r="E46" s="3" t="s">
        <v>10</v>
      </c>
      <c r="F46" s="7"/>
      <c r="G46" s="7">
        <f>192000*4000*40%</f>
        <v>307200000</v>
      </c>
      <c r="H46" s="3" t="s">
        <v>107</v>
      </c>
    </row>
  </sheetData>
  <sortState ref="A2:H46">
    <sortCondition ref="C2:C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2" width="12.85546875" bestFit="1" customWidth="1"/>
    <col min="3" max="3" width="29.28515625" bestFit="1" customWidth="1"/>
    <col min="4" max="4" width="11" bestFit="1" customWidth="1"/>
    <col min="5" max="5" width="11.5703125" style="2" bestFit="1" customWidth="1"/>
  </cols>
  <sheetData>
    <row r="1" spans="1:5" x14ac:dyDescent="0.25">
      <c r="A1" t="s">
        <v>0</v>
      </c>
      <c r="B1" t="s">
        <v>1</v>
      </c>
      <c r="C1" t="s">
        <v>3</v>
      </c>
      <c r="D1" t="s">
        <v>4</v>
      </c>
      <c r="E1" t="s">
        <v>6</v>
      </c>
    </row>
    <row r="2" spans="1:5" x14ac:dyDescent="0.25">
      <c r="A2" s="1">
        <v>42146</v>
      </c>
      <c r="B2" t="s">
        <v>12</v>
      </c>
      <c r="C2" t="s">
        <v>13</v>
      </c>
      <c r="D2" t="s">
        <v>14</v>
      </c>
    </row>
    <row r="3" spans="1:5" x14ac:dyDescent="0.25">
      <c r="A3" s="1">
        <v>42152</v>
      </c>
      <c r="B3" t="s">
        <v>21</v>
      </c>
      <c r="C3" t="s">
        <v>22</v>
      </c>
      <c r="D3" t="s">
        <v>23</v>
      </c>
    </row>
    <row r="4" spans="1:5" x14ac:dyDescent="0.25">
      <c r="A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Spending</vt:lpstr>
      <vt:lpstr>Tax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Farrar</dc:creator>
  <cp:lastModifiedBy>David Farrar</cp:lastModifiedBy>
  <dcterms:created xsi:type="dcterms:W3CDTF">2015-05-26T18:05:53Z</dcterms:created>
  <dcterms:modified xsi:type="dcterms:W3CDTF">2016-05-08T18:13:46Z</dcterms:modified>
</cp:coreProperties>
</file>