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1"/>
  <workbookPr defaultThemeVersion="166925"/>
  <mc:AlternateContent xmlns:mc="http://schemas.openxmlformats.org/markup-compatibility/2006">
    <mc:Choice Requires="x15">
      <x15ac:absPath xmlns:x15ac="http://schemas.microsoft.com/office/spreadsheetml/2010/11/ac" url="/Users/paul/Documents/Blog bits/Benefits and EMTR/"/>
    </mc:Choice>
  </mc:AlternateContent>
  <xr:revisionPtr revIDLastSave="0" documentId="13_ncr:1_{59A6DE34-E934-EE4E-82FF-20DCFCCDE327}" xr6:coauthVersionLast="47" xr6:coauthVersionMax="47" xr10:uidLastSave="{00000000-0000-0000-0000-000000000000}"/>
  <bookViews>
    <workbookView xWindow="0" yWindow="760" windowWidth="30240" windowHeight="18880" activeTab="5" xr2:uid="{C47634FB-C5DD-CF49-BD54-9D4362215A2B}"/>
  </bookViews>
  <sheets>
    <sheet name="Overview" sheetId="9" r:id="rId1"/>
    <sheet name="Entitlements" sheetId="1" r:id="rId2"/>
    <sheet name="Jobseeker" sheetId="2" r:id="rId3"/>
    <sheet name="Family Tax Credits" sheetId="3" r:id="rId4"/>
    <sheet name="Childcare and Oscar" sheetId="4" r:id="rId5"/>
    <sheet name="Scenario - Add Hrs" sheetId="6" r:id="rId6"/>
    <sheet name="Scenario - Add Pay" sheetId="10" r:id="rId7"/>
  </sheets>
  <definedNames>
    <definedName name="AccommodationSupplementHeader">Jobseeker!$M$11:$P$11</definedName>
    <definedName name="AccommodationSupplementValues">Jobseeker!$M$12:$P$24</definedName>
    <definedName name="CCO_Lookup">'Childcare and Oscar'!$B$20:$I$20</definedName>
    <definedName name="CCO_NumberChildren">'Childcare and Oscar'!$A$21:$A$23</definedName>
    <definedName name="CCO_Value">'Childcare and Oscar'!$B$21:$I$23</definedName>
    <definedName name="FTC_AbatementRate">'Family Tax Credits'!$D$4</definedName>
    <definedName name="FTC_FirstChild">'Family Tax Credits'!$B$4</definedName>
    <definedName name="FTC_SubsequentChild">'Family Tax Credits'!$B$5</definedName>
    <definedName name="FTC_Threshold">'Family Tax Credits'!$C$4</definedName>
    <definedName name="IWTC_AbatementRate">'Family Tax Credits'!$B$18</definedName>
    <definedName name="LivingAtHomeLookup">Jobseeker!$A$6:$A$8</definedName>
    <definedName name="LivingAtHomeValue">Jobseeker!$B$6:$B$8</definedName>
    <definedName name="LivingSituationLookup">Jobseeker!$A$1:$A$4</definedName>
    <definedName name="LivingSituationValue">Jobseeker!$B$1:$B$4</definedName>
    <definedName name="MainBenefitAbatement2Values">Jobseeker!$T$12:$T$24</definedName>
    <definedName name="MainBenefitAbatementThreshold2Values">Jobseeker!$S$12:$S$24</definedName>
    <definedName name="MainBenefitAbatementThresholdValues">Jobseeker!$Q$12:$Q$24</definedName>
    <definedName name="MainBenefitAbatementValues">Jobseeker!$R$12:$R$24</definedName>
    <definedName name="MainBenefitLookup">Jobseeker!$G$12:$G$24</definedName>
    <definedName name="MainBenefitValues">Jobseeker!$I$12:$I$24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122" i="6" l="1"/>
  <c r="AZ121" i="6"/>
  <c r="AZ120" i="6"/>
  <c r="AZ119" i="6"/>
  <c r="AZ118" i="6"/>
  <c r="AZ117" i="6"/>
  <c r="AZ116" i="6"/>
  <c r="AZ115" i="6"/>
  <c r="AZ114" i="6"/>
  <c r="AZ113" i="6"/>
  <c r="AZ112" i="6"/>
  <c r="AZ111" i="6"/>
  <c r="AZ110" i="6"/>
  <c r="AZ109" i="6"/>
  <c r="AZ108" i="6"/>
  <c r="AZ107" i="6"/>
  <c r="AZ106" i="6"/>
  <c r="AZ105" i="6"/>
  <c r="AZ104" i="6"/>
  <c r="AZ103" i="6"/>
  <c r="AZ102" i="6"/>
  <c r="AZ101" i="6"/>
  <c r="AZ100" i="6"/>
  <c r="AZ99" i="6"/>
  <c r="AZ98" i="6"/>
  <c r="AZ97" i="6"/>
  <c r="AZ96" i="6"/>
  <c r="AZ95" i="6"/>
  <c r="AZ94" i="6"/>
  <c r="AZ93" i="6"/>
  <c r="AZ92" i="6"/>
  <c r="AZ91" i="6"/>
  <c r="AZ90" i="6"/>
  <c r="AZ89" i="6"/>
  <c r="AZ88" i="6"/>
  <c r="AZ87" i="6"/>
  <c r="AZ86" i="6"/>
  <c r="AZ85" i="6"/>
  <c r="AZ84" i="6"/>
  <c r="AZ83" i="6"/>
  <c r="AZ82" i="6"/>
  <c r="AZ81" i="6"/>
  <c r="AZ80" i="6"/>
  <c r="AZ79" i="6"/>
  <c r="AZ78" i="6"/>
  <c r="AZ77" i="6"/>
  <c r="AZ76" i="6"/>
  <c r="AZ75" i="6"/>
  <c r="AZ74" i="6"/>
  <c r="AZ73" i="6"/>
  <c r="AZ72" i="6"/>
  <c r="AZ71" i="6"/>
  <c r="AZ70" i="6"/>
  <c r="AZ69" i="6"/>
  <c r="AZ68" i="6"/>
  <c r="AZ67" i="6"/>
  <c r="AZ66" i="6"/>
  <c r="AZ65" i="6"/>
  <c r="AZ64" i="6"/>
  <c r="AZ63" i="6"/>
  <c r="AZ62" i="6"/>
  <c r="D41" i="10"/>
  <c r="D41" i="6"/>
  <c r="B34" i="6" l="1"/>
  <c r="B34" i="10"/>
  <c r="B35" i="10" l="1"/>
  <c r="B33" i="10"/>
  <c r="B35" i="6"/>
  <c r="B33" i="6"/>
  <c r="BE122" i="10"/>
  <c r="BE121" i="10"/>
  <c r="BE120" i="10"/>
  <c r="BE119" i="10"/>
  <c r="BE118" i="10"/>
  <c r="BE117" i="10"/>
  <c r="BE116" i="10"/>
  <c r="BE115" i="10"/>
  <c r="BE114" i="10"/>
  <c r="BE113" i="10"/>
  <c r="BE112" i="10"/>
  <c r="BE111" i="10"/>
  <c r="BE110" i="10"/>
  <c r="BE109" i="10"/>
  <c r="BE108" i="10"/>
  <c r="BE107" i="10"/>
  <c r="BE106" i="10"/>
  <c r="BE105" i="10"/>
  <c r="BE104" i="10"/>
  <c r="BE103" i="10"/>
  <c r="BE102" i="10"/>
  <c r="BE101" i="10"/>
  <c r="BE100" i="10"/>
  <c r="BE99" i="10"/>
  <c r="BE98" i="10"/>
  <c r="BE97" i="10"/>
  <c r="BE96" i="10"/>
  <c r="BE95" i="10"/>
  <c r="BE94" i="10"/>
  <c r="BE93" i="10"/>
  <c r="BE92" i="10"/>
  <c r="BE91" i="10"/>
  <c r="BE90" i="10"/>
  <c r="BE89" i="10"/>
  <c r="BE88" i="10"/>
  <c r="BE87" i="10"/>
  <c r="BE86" i="10"/>
  <c r="BE85" i="10"/>
  <c r="BE84" i="10"/>
  <c r="BE83" i="10"/>
  <c r="BE82" i="10"/>
  <c r="BE81" i="10"/>
  <c r="BE80" i="10"/>
  <c r="BE79" i="10"/>
  <c r="BE78" i="10"/>
  <c r="BE77" i="10"/>
  <c r="BE76" i="10"/>
  <c r="BE75" i="10"/>
  <c r="BE74" i="10"/>
  <c r="BE73" i="10"/>
  <c r="BE72" i="10"/>
  <c r="BE71" i="10"/>
  <c r="BE70" i="10"/>
  <c r="BE69" i="10"/>
  <c r="BE68" i="10"/>
  <c r="BE67" i="10"/>
  <c r="BE66" i="10"/>
  <c r="BE65" i="10"/>
  <c r="BE64" i="10"/>
  <c r="BE63" i="10"/>
  <c r="BE62" i="10"/>
  <c r="A63" i="10"/>
  <c r="BA122" i="10"/>
  <c r="AX122" i="10"/>
  <c r="AU122" i="10"/>
  <c r="BA121" i="10"/>
  <c r="AX121" i="10"/>
  <c r="AU121" i="10"/>
  <c r="BA120" i="10"/>
  <c r="AX120" i="10"/>
  <c r="AU120" i="10"/>
  <c r="BA119" i="10"/>
  <c r="AX119" i="10"/>
  <c r="AU119" i="10"/>
  <c r="BA118" i="10"/>
  <c r="AX118" i="10"/>
  <c r="AU118" i="10"/>
  <c r="BA117" i="10"/>
  <c r="AX117" i="10"/>
  <c r="AU117" i="10"/>
  <c r="BA116" i="10"/>
  <c r="AX116" i="10"/>
  <c r="AU116" i="10"/>
  <c r="BA115" i="10"/>
  <c r="AX115" i="10"/>
  <c r="AU115" i="10"/>
  <c r="BA114" i="10"/>
  <c r="AX114" i="10"/>
  <c r="AU114" i="10"/>
  <c r="BA113" i="10"/>
  <c r="AX113" i="10"/>
  <c r="AU113" i="10"/>
  <c r="BA112" i="10"/>
  <c r="AX112" i="10"/>
  <c r="AU112" i="10"/>
  <c r="BA111" i="10"/>
  <c r="AX111" i="10"/>
  <c r="AU111" i="10"/>
  <c r="BA110" i="10"/>
  <c r="AX110" i="10"/>
  <c r="AU110" i="10"/>
  <c r="BA109" i="10"/>
  <c r="AX109" i="10"/>
  <c r="AU109" i="10"/>
  <c r="BA108" i="10"/>
  <c r="AX108" i="10"/>
  <c r="AU108" i="10"/>
  <c r="BA107" i="10"/>
  <c r="AX107" i="10"/>
  <c r="AU107" i="10"/>
  <c r="BA106" i="10"/>
  <c r="AX106" i="10"/>
  <c r="AU106" i="10"/>
  <c r="BA105" i="10"/>
  <c r="AX105" i="10"/>
  <c r="AU105" i="10"/>
  <c r="BA104" i="10"/>
  <c r="AX104" i="10"/>
  <c r="AU104" i="10"/>
  <c r="BA103" i="10"/>
  <c r="AX103" i="10"/>
  <c r="AU103" i="10"/>
  <c r="BA102" i="10"/>
  <c r="AX102" i="10"/>
  <c r="AU102" i="10"/>
  <c r="BA101" i="10"/>
  <c r="AX101" i="10"/>
  <c r="AU101" i="10"/>
  <c r="BA100" i="10"/>
  <c r="AX100" i="10"/>
  <c r="AU100" i="10"/>
  <c r="BA99" i="10"/>
  <c r="AX99" i="10"/>
  <c r="AU99" i="10"/>
  <c r="BA98" i="10"/>
  <c r="AX98" i="10"/>
  <c r="AU98" i="10"/>
  <c r="BA97" i="10"/>
  <c r="AX97" i="10"/>
  <c r="AU97" i="10"/>
  <c r="BA96" i="10"/>
  <c r="AX96" i="10"/>
  <c r="AU96" i="10"/>
  <c r="BA95" i="10"/>
  <c r="AX95" i="10"/>
  <c r="AU95" i="10"/>
  <c r="BA94" i="10"/>
  <c r="AX94" i="10"/>
  <c r="AU94" i="10"/>
  <c r="BA93" i="10"/>
  <c r="AX93" i="10"/>
  <c r="AU93" i="10"/>
  <c r="BA92" i="10"/>
  <c r="AX92" i="10"/>
  <c r="AU92" i="10"/>
  <c r="BA91" i="10"/>
  <c r="AX91" i="10"/>
  <c r="AU91" i="10"/>
  <c r="BA90" i="10"/>
  <c r="AX90" i="10"/>
  <c r="AU90" i="10"/>
  <c r="BA89" i="10"/>
  <c r="AX89" i="10"/>
  <c r="AU89" i="10"/>
  <c r="BA88" i="10"/>
  <c r="AX88" i="10"/>
  <c r="AU88" i="10"/>
  <c r="BA87" i="10"/>
  <c r="AX87" i="10"/>
  <c r="AU87" i="10"/>
  <c r="BA86" i="10"/>
  <c r="AX86" i="10"/>
  <c r="AU86" i="10"/>
  <c r="BA85" i="10"/>
  <c r="AX85" i="10"/>
  <c r="AU85" i="10"/>
  <c r="BA84" i="10"/>
  <c r="AX84" i="10"/>
  <c r="AU84" i="10"/>
  <c r="BA83" i="10"/>
  <c r="AX83" i="10"/>
  <c r="AU83" i="10"/>
  <c r="BA82" i="10"/>
  <c r="AX82" i="10"/>
  <c r="AU82" i="10"/>
  <c r="BA81" i="10"/>
  <c r="AX81" i="10"/>
  <c r="AU81" i="10"/>
  <c r="BA80" i="10"/>
  <c r="AX80" i="10"/>
  <c r="AU80" i="10"/>
  <c r="BA79" i="10"/>
  <c r="AX79" i="10"/>
  <c r="AU79" i="10"/>
  <c r="BA78" i="10"/>
  <c r="AX78" i="10"/>
  <c r="AU78" i="10"/>
  <c r="BA77" i="10"/>
  <c r="AX77" i="10"/>
  <c r="AU77" i="10"/>
  <c r="BA76" i="10"/>
  <c r="AX76" i="10"/>
  <c r="AU76" i="10"/>
  <c r="BA75" i="10"/>
  <c r="AX75" i="10"/>
  <c r="AU75" i="10"/>
  <c r="BA74" i="10"/>
  <c r="AX74" i="10"/>
  <c r="AU74" i="10"/>
  <c r="BA73" i="10"/>
  <c r="AX73" i="10"/>
  <c r="AU73" i="10"/>
  <c r="BA72" i="10"/>
  <c r="AX72" i="10"/>
  <c r="AU72" i="10"/>
  <c r="BA71" i="10"/>
  <c r="AX71" i="10"/>
  <c r="AU71" i="10"/>
  <c r="BA70" i="10"/>
  <c r="AX70" i="10"/>
  <c r="AU70" i="10"/>
  <c r="BA69" i="10"/>
  <c r="AX69" i="10"/>
  <c r="AU69" i="10"/>
  <c r="BA68" i="10"/>
  <c r="AX68" i="10"/>
  <c r="AU68" i="10"/>
  <c r="BA67" i="10"/>
  <c r="AX67" i="10"/>
  <c r="AU67" i="10"/>
  <c r="BA66" i="10"/>
  <c r="AX66" i="10"/>
  <c r="AU66" i="10"/>
  <c r="BA65" i="10"/>
  <c r="AX65" i="10"/>
  <c r="AU65" i="10"/>
  <c r="BA64" i="10"/>
  <c r="AX64" i="10"/>
  <c r="AU64" i="10"/>
  <c r="BA63" i="10"/>
  <c r="AX63" i="10"/>
  <c r="AU63" i="10"/>
  <c r="BA62" i="10"/>
  <c r="AX62" i="10"/>
  <c r="AU62" i="10"/>
  <c r="B62" i="10"/>
  <c r="E39" i="10"/>
  <c r="E38" i="10"/>
  <c r="B30" i="10"/>
  <c r="B29" i="10"/>
  <c r="B16" i="10"/>
  <c r="B15" i="10" a="1"/>
  <c r="B15" i="10" s="1"/>
  <c r="AT122" i="10" s="1"/>
  <c r="B14" i="10"/>
  <c r="AS74" i="10" s="1"/>
  <c r="B39" i="10" l="1"/>
  <c r="B38" i="10"/>
  <c r="B40" i="10"/>
  <c r="B41" i="10"/>
  <c r="B31" i="10"/>
  <c r="B32" i="10"/>
  <c r="BB64" i="10"/>
  <c r="BB65" i="10"/>
  <c r="BB74" i="10"/>
  <c r="AY86" i="10"/>
  <c r="AY66" i="10"/>
  <c r="AY116" i="10"/>
  <c r="BB94" i="10"/>
  <c r="AY75" i="10"/>
  <c r="AY76" i="10"/>
  <c r="BB75" i="10"/>
  <c r="AY95" i="10"/>
  <c r="AY96" i="10"/>
  <c r="AY85" i="10"/>
  <c r="BB84" i="10"/>
  <c r="AY105" i="10"/>
  <c r="BB104" i="10"/>
  <c r="AY106" i="10"/>
  <c r="BB114" i="10"/>
  <c r="AY65" i="10"/>
  <c r="AY115" i="10"/>
  <c r="BB85" i="10"/>
  <c r="BB105" i="10"/>
  <c r="BB118" i="10"/>
  <c r="AY70" i="10"/>
  <c r="AY80" i="10"/>
  <c r="AY90" i="10"/>
  <c r="AY100" i="10"/>
  <c r="AY110" i="10"/>
  <c r="AY120" i="10"/>
  <c r="BB69" i="10"/>
  <c r="BB79" i="10"/>
  <c r="BB89" i="10"/>
  <c r="BB99" i="10"/>
  <c r="BB109" i="10"/>
  <c r="BB119" i="10"/>
  <c r="BB95" i="10"/>
  <c r="BB115" i="10"/>
  <c r="AY67" i="10"/>
  <c r="AY77" i="10"/>
  <c r="AY87" i="10"/>
  <c r="AY107" i="10"/>
  <c r="BB66" i="10"/>
  <c r="AY98" i="10"/>
  <c r="BB97" i="10"/>
  <c r="AY69" i="10"/>
  <c r="AY71" i="10"/>
  <c r="AY81" i="10"/>
  <c r="AY91" i="10"/>
  <c r="AY101" i="10"/>
  <c r="AY111" i="10"/>
  <c r="AY121" i="10"/>
  <c r="BB70" i="10"/>
  <c r="BB80" i="10"/>
  <c r="BB90" i="10"/>
  <c r="BB100" i="10"/>
  <c r="BB110" i="10"/>
  <c r="BB120" i="10"/>
  <c r="AY68" i="10"/>
  <c r="BB67" i="10"/>
  <c r="AY62" i="10"/>
  <c r="AY72" i="10"/>
  <c r="AY82" i="10"/>
  <c r="AY92" i="10"/>
  <c r="AY102" i="10"/>
  <c r="AY112" i="10"/>
  <c r="AY122" i="10"/>
  <c r="BB71" i="10"/>
  <c r="BB81" i="10"/>
  <c r="BB91" i="10"/>
  <c r="BB101" i="10"/>
  <c r="BB111" i="10"/>
  <c r="BB121" i="10"/>
  <c r="AY117" i="10"/>
  <c r="AY88" i="10"/>
  <c r="AY118" i="10"/>
  <c r="BB77" i="10"/>
  <c r="BB107" i="10"/>
  <c r="AY89" i="10"/>
  <c r="AY109" i="10"/>
  <c r="BB68" i="10"/>
  <c r="BB88" i="10"/>
  <c r="BB98" i="10"/>
  <c r="AY63" i="10"/>
  <c r="AY73" i="10"/>
  <c r="AY83" i="10"/>
  <c r="AY93" i="10"/>
  <c r="AY103" i="10"/>
  <c r="AY113" i="10"/>
  <c r="BB62" i="10"/>
  <c r="BB72" i="10"/>
  <c r="BB82" i="10"/>
  <c r="BB92" i="10"/>
  <c r="BB102" i="10"/>
  <c r="BB112" i="10"/>
  <c r="BB122" i="10"/>
  <c r="AY97" i="10"/>
  <c r="BB76" i="10"/>
  <c r="BB86" i="10"/>
  <c r="BB96" i="10"/>
  <c r="BB106" i="10"/>
  <c r="BB116" i="10"/>
  <c r="AY78" i="10"/>
  <c r="AY108" i="10"/>
  <c r="BB87" i="10"/>
  <c r="BB117" i="10"/>
  <c r="AY79" i="10"/>
  <c r="AY99" i="10"/>
  <c r="AY119" i="10"/>
  <c r="BB78" i="10"/>
  <c r="BB108" i="10"/>
  <c r="AY64" i="10"/>
  <c r="AY74" i="10"/>
  <c r="AY84" i="10"/>
  <c r="AY94" i="10"/>
  <c r="AY104" i="10"/>
  <c r="AY114" i="10"/>
  <c r="BB63" i="10"/>
  <c r="BB73" i="10"/>
  <c r="BB83" i="10"/>
  <c r="BB93" i="10"/>
  <c r="BB103" i="10"/>
  <c r="BB113" i="10"/>
  <c r="AT78" i="10"/>
  <c r="AT98" i="10"/>
  <c r="AT118" i="10"/>
  <c r="AT73" i="10"/>
  <c r="AT103" i="10"/>
  <c r="AT106" i="10"/>
  <c r="AT68" i="10"/>
  <c r="AT88" i="10"/>
  <c r="AT108" i="10"/>
  <c r="AT63" i="10"/>
  <c r="AT83" i="10"/>
  <c r="AT93" i="10"/>
  <c r="AT113" i="10"/>
  <c r="AT64" i="10"/>
  <c r="AT74" i="10"/>
  <c r="AT84" i="10"/>
  <c r="AT94" i="10"/>
  <c r="AT104" i="10"/>
  <c r="AT114" i="10"/>
  <c r="AT65" i="10"/>
  <c r="AT75" i="10"/>
  <c r="AT85" i="10"/>
  <c r="AT95" i="10"/>
  <c r="AT105" i="10"/>
  <c r="AT115" i="10"/>
  <c r="AT66" i="10"/>
  <c r="AT76" i="10"/>
  <c r="AT86" i="10"/>
  <c r="AT96" i="10"/>
  <c r="AT116" i="10"/>
  <c r="AT67" i="10"/>
  <c r="AT77" i="10"/>
  <c r="AT87" i="10"/>
  <c r="AT97" i="10"/>
  <c r="AT107" i="10"/>
  <c r="AT117" i="10"/>
  <c r="AT69" i="10"/>
  <c r="AT79" i="10"/>
  <c r="AT89" i="10"/>
  <c r="AT99" i="10"/>
  <c r="AT109" i="10"/>
  <c r="AT119" i="10"/>
  <c r="AT70" i="10"/>
  <c r="AT80" i="10"/>
  <c r="AT90" i="10"/>
  <c r="AT100" i="10"/>
  <c r="AT110" i="10"/>
  <c r="AT120" i="10"/>
  <c r="AT71" i="10"/>
  <c r="AT81" i="10"/>
  <c r="AT91" i="10"/>
  <c r="AT101" i="10"/>
  <c r="AT111" i="10"/>
  <c r="AT121" i="10"/>
  <c r="AT62" i="10"/>
  <c r="AT72" i="10"/>
  <c r="AT82" i="10"/>
  <c r="AT92" i="10"/>
  <c r="AT102" i="10"/>
  <c r="AT112" i="10"/>
  <c r="A64" i="10"/>
  <c r="B63" i="10"/>
  <c r="C117" i="10"/>
  <c r="C115" i="10"/>
  <c r="C113" i="10"/>
  <c r="C111" i="10"/>
  <c r="C109" i="10"/>
  <c r="C107" i="10"/>
  <c r="C110" i="10"/>
  <c r="C103" i="10"/>
  <c r="C102" i="10"/>
  <c r="C101" i="10"/>
  <c r="C100" i="10"/>
  <c r="C120" i="10"/>
  <c r="C108" i="10"/>
  <c r="C122" i="10"/>
  <c r="C104" i="10"/>
  <c r="C121" i="10"/>
  <c r="C119" i="10"/>
  <c r="C118" i="10"/>
  <c r="C83" i="10"/>
  <c r="C81" i="10"/>
  <c r="C80" i="10"/>
  <c r="C79" i="10"/>
  <c r="C78" i="10"/>
  <c r="C77" i="10"/>
  <c r="C76" i="10"/>
  <c r="C75" i="10"/>
  <c r="C74" i="10"/>
  <c r="C98" i="10"/>
  <c r="C96" i="10"/>
  <c r="C94" i="10"/>
  <c r="C116" i="10"/>
  <c r="C114" i="10"/>
  <c r="C112" i="10"/>
  <c r="C89" i="10"/>
  <c r="C105" i="10"/>
  <c r="C95" i="10"/>
  <c r="C84" i="10"/>
  <c r="C82" i="10"/>
  <c r="C73" i="10"/>
  <c r="C72" i="10"/>
  <c r="C71" i="10"/>
  <c r="C70" i="10"/>
  <c r="C106" i="10"/>
  <c r="C92" i="10"/>
  <c r="C90" i="10"/>
  <c r="C68" i="10"/>
  <c r="C67" i="10"/>
  <c r="C66" i="10"/>
  <c r="C65" i="10"/>
  <c r="C64" i="10"/>
  <c r="C63" i="10"/>
  <c r="C99" i="10"/>
  <c r="B17" i="10"/>
  <c r="C87" i="10"/>
  <c r="C85" i="10"/>
  <c r="C86" i="10"/>
  <c r="C69" i="10"/>
  <c r="C91" i="10"/>
  <c r="C93" i="10"/>
  <c r="C88" i="10"/>
  <c r="C97" i="10"/>
  <c r="C62" i="10"/>
  <c r="D62" i="10" s="1"/>
  <c r="AS122" i="10"/>
  <c r="AS121" i="10"/>
  <c r="AS120" i="10"/>
  <c r="AS119" i="10"/>
  <c r="AS118" i="10"/>
  <c r="AS117" i="10"/>
  <c r="AS115" i="10"/>
  <c r="AS113" i="10"/>
  <c r="AS111" i="10"/>
  <c r="AS109" i="10"/>
  <c r="AS107" i="10"/>
  <c r="AS116" i="10"/>
  <c r="AS103" i="10"/>
  <c r="AS114" i="10"/>
  <c r="AS112" i="10"/>
  <c r="AS110" i="10"/>
  <c r="AS108" i="10"/>
  <c r="AS104" i="10"/>
  <c r="AS102" i="10"/>
  <c r="AS101" i="10"/>
  <c r="AS100" i="10"/>
  <c r="AS99" i="10"/>
  <c r="AS81" i="10"/>
  <c r="AS97" i="10"/>
  <c r="AS95" i="10"/>
  <c r="AS93" i="10"/>
  <c r="AS92" i="10"/>
  <c r="AS91" i="10"/>
  <c r="AS90" i="10"/>
  <c r="AS89" i="10"/>
  <c r="AS88" i="10"/>
  <c r="AS87" i="10"/>
  <c r="AS86" i="10"/>
  <c r="AS85" i="10"/>
  <c r="AS84" i="10"/>
  <c r="AS83" i="10"/>
  <c r="AS94" i="10"/>
  <c r="AS77" i="10"/>
  <c r="AS75" i="10"/>
  <c r="AS73" i="10"/>
  <c r="AS105" i="10"/>
  <c r="AS80" i="10"/>
  <c r="AS98" i="10"/>
  <c r="AS79" i="10"/>
  <c r="AS106" i="10"/>
  <c r="AS96" i="10"/>
  <c r="AS78" i="10"/>
  <c r="AS76" i="10"/>
  <c r="AS72" i="10"/>
  <c r="B28" i="10"/>
  <c r="B36" i="10" s="1"/>
  <c r="B18" i="10"/>
  <c r="AS71" i="10"/>
  <c r="AS64" i="10"/>
  <c r="AS63" i="10"/>
  <c r="AS70" i="10"/>
  <c r="B44" i="10"/>
  <c r="AS82" i="10"/>
  <c r="AS68" i="10"/>
  <c r="AS67" i="10"/>
  <c r="AS66" i="10"/>
  <c r="AS65" i="10"/>
  <c r="AS62" i="10"/>
  <c r="AS69" i="10"/>
  <c r="AX122" i="6"/>
  <c r="AX121" i="6"/>
  <c r="AX120" i="6"/>
  <c r="AX119" i="6"/>
  <c r="AX118" i="6"/>
  <c r="AX117" i="6"/>
  <c r="AX116" i="6"/>
  <c r="AX115" i="6"/>
  <c r="AX114" i="6"/>
  <c r="AX113" i="6"/>
  <c r="AX112" i="6"/>
  <c r="AX111" i="6"/>
  <c r="AX110" i="6"/>
  <c r="AX109" i="6"/>
  <c r="AX108" i="6"/>
  <c r="AX107" i="6"/>
  <c r="AX106" i="6"/>
  <c r="AX105" i="6"/>
  <c r="AX104" i="6"/>
  <c r="AX103" i="6"/>
  <c r="AX102" i="6"/>
  <c r="AX101" i="6"/>
  <c r="AX100" i="6"/>
  <c r="AX99" i="6"/>
  <c r="AX98" i="6"/>
  <c r="AX97" i="6"/>
  <c r="AX96" i="6"/>
  <c r="AX95" i="6"/>
  <c r="AX94" i="6"/>
  <c r="AX93" i="6"/>
  <c r="AX92" i="6"/>
  <c r="AX91" i="6"/>
  <c r="AX90" i="6"/>
  <c r="AX89" i="6"/>
  <c r="AX88" i="6"/>
  <c r="AX87" i="6"/>
  <c r="AX86" i="6"/>
  <c r="AX85" i="6"/>
  <c r="AX84" i="6"/>
  <c r="AX83" i="6"/>
  <c r="AX82" i="6"/>
  <c r="AX81" i="6"/>
  <c r="AX80" i="6"/>
  <c r="AX79" i="6"/>
  <c r="AX78" i="6"/>
  <c r="AX77" i="6"/>
  <c r="AX76" i="6"/>
  <c r="AX75" i="6"/>
  <c r="AX74" i="6"/>
  <c r="AX73" i="6"/>
  <c r="AX72" i="6"/>
  <c r="AX71" i="6"/>
  <c r="AX70" i="6"/>
  <c r="AX69" i="6"/>
  <c r="AX68" i="6"/>
  <c r="AX67" i="6"/>
  <c r="AX66" i="6"/>
  <c r="AX65" i="6"/>
  <c r="AX64" i="6"/>
  <c r="AX63" i="6"/>
  <c r="AX62" i="6"/>
  <c r="AU122" i="6"/>
  <c r="AU121" i="6"/>
  <c r="AU120" i="6"/>
  <c r="AU119" i="6"/>
  <c r="AU118" i="6"/>
  <c r="AU117" i="6"/>
  <c r="AU116" i="6"/>
  <c r="AU115" i="6"/>
  <c r="AU114" i="6"/>
  <c r="AU113" i="6"/>
  <c r="AU112" i="6"/>
  <c r="AU111" i="6"/>
  <c r="AU110" i="6"/>
  <c r="AU109" i="6"/>
  <c r="AU108" i="6"/>
  <c r="AU107" i="6"/>
  <c r="AU106" i="6"/>
  <c r="AU105" i="6"/>
  <c r="AU104" i="6"/>
  <c r="AU103" i="6"/>
  <c r="AU102" i="6"/>
  <c r="AU101" i="6"/>
  <c r="AU100" i="6"/>
  <c r="AU99" i="6"/>
  <c r="AU98" i="6"/>
  <c r="AU97" i="6"/>
  <c r="AU96" i="6"/>
  <c r="AU95" i="6"/>
  <c r="AU94" i="6"/>
  <c r="AU93" i="6"/>
  <c r="AU92" i="6"/>
  <c r="AU91" i="6"/>
  <c r="AU90" i="6"/>
  <c r="AU89" i="6"/>
  <c r="AU88" i="6"/>
  <c r="AU87" i="6"/>
  <c r="AU86" i="6"/>
  <c r="AU85" i="6"/>
  <c r="AU84" i="6"/>
  <c r="AU83" i="6"/>
  <c r="AU82" i="6"/>
  <c r="AU81" i="6"/>
  <c r="AU80" i="6"/>
  <c r="AU79" i="6"/>
  <c r="AU78" i="6"/>
  <c r="AU77" i="6"/>
  <c r="AU76" i="6"/>
  <c r="AU75" i="6"/>
  <c r="AU74" i="6"/>
  <c r="AU73" i="6"/>
  <c r="AU72" i="6"/>
  <c r="AU71" i="6"/>
  <c r="AU70" i="6"/>
  <c r="AU69" i="6"/>
  <c r="AU68" i="6"/>
  <c r="AU67" i="6"/>
  <c r="AU66" i="6"/>
  <c r="AU65" i="6"/>
  <c r="AU64" i="6"/>
  <c r="AU63" i="6"/>
  <c r="AU62" i="6"/>
  <c r="B14" i="6"/>
  <c r="BE62" i="6"/>
  <c r="E39" i="6"/>
  <c r="E38" i="6"/>
  <c r="BA122" i="6"/>
  <c r="BA121" i="6"/>
  <c r="BA120" i="6"/>
  <c r="BA119" i="6"/>
  <c r="BA118" i="6"/>
  <c r="BA117" i="6"/>
  <c r="BA116" i="6"/>
  <c r="BA115" i="6"/>
  <c r="BA114" i="6"/>
  <c r="BA113" i="6"/>
  <c r="BA112" i="6"/>
  <c r="BA111" i="6"/>
  <c r="BA110" i="6"/>
  <c r="BA109" i="6"/>
  <c r="BA108" i="6"/>
  <c r="BA107" i="6"/>
  <c r="BA106" i="6"/>
  <c r="BA105" i="6"/>
  <c r="BA104" i="6"/>
  <c r="BA103" i="6"/>
  <c r="BA102" i="6"/>
  <c r="BA101" i="6"/>
  <c r="BA100" i="6"/>
  <c r="BA99" i="6"/>
  <c r="BA98" i="6"/>
  <c r="BA97" i="6"/>
  <c r="BA96" i="6"/>
  <c r="BA95" i="6"/>
  <c r="BA94" i="6"/>
  <c r="BA93" i="6"/>
  <c r="BA92" i="6"/>
  <c r="BA91" i="6"/>
  <c r="BA90" i="6"/>
  <c r="BA89" i="6"/>
  <c r="BA88" i="6"/>
  <c r="BA87" i="6"/>
  <c r="BA86" i="6"/>
  <c r="BA85" i="6"/>
  <c r="BA84" i="6"/>
  <c r="BA83" i="6"/>
  <c r="BA82" i="6"/>
  <c r="BA81" i="6"/>
  <c r="BA80" i="6"/>
  <c r="BA79" i="6"/>
  <c r="BA78" i="6"/>
  <c r="BA77" i="6"/>
  <c r="BA76" i="6"/>
  <c r="BA75" i="6"/>
  <c r="BA74" i="6"/>
  <c r="BA73" i="6"/>
  <c r="BA72" i="6"/>
  <c r="BA71" i="6"/>
  <c r="BA70" i="6"/>
  <c r="BA69" i="6"/>
  <c r="BA68" i="6"/>
  <c r="BA67" i="6"/>
  <c r="BA66" i="6"/>
  <c r="BA65" i="6"/>
  <c r="BA64" i="6"/>
  <c r="BA63" i="6"/>
  <c r="BA62" i="6"/>
  <c r="I23" i="4"/>
  <c r="H23" i="4"/>
  <c r="G23" i="4"/>
  <c r="F23" i="4"/>
  <c r="I22" i="4"/>
  <c r="H22" i="4"/>
  <c r="G22" i="4"/>
  <c r="F22" i="4"/>
  <c r="E23" i="4"/>
  <c r="D23" i="4"/>
  <c r="C23" i="4"/>
  <c r="B23" i="4"/>
  <c r="E22" i="4"/>
  <c r="D22" i="4"/>
  <c r="C22" i="4"/>
  <c r="B22" i="4"/>
  <c r="E21" i="4"/>
  <c r="D21" i="4"/>
  <c r="C21" i="4"/>
  <c r="B21" i="4"/>
  <c r="I21" i="4"/>
  <c r="H21" i="4"/>
  <c r="G21" i="4"/>
  <c r="F21" i="4"/>
  <c r="B62" i="6"/>
  <c r="B29" i="6"/>
  <c r="B30" i="6"/>
  <c r="B16" i="6"/>
  <c r="J21" i="2"/>
  <c r="B15" i="6" a="1"/>
  <c r="B15" i="6" s="1"/>
  <c r="C39" i="2"/>
  <c r="C38" i="2"/>
  <c r="C36" i="2"/>
  <c r="C35" i="2"/>
  <c r="C34" i="2"/>
  <c r="C33" i="2"/>
  <c r="A63" i="6"/>
  <c r="P22" i="2"/>
  <c r="O22" i="2"/>
  <c r="N22" i="2"/>
  <c r="M22" i="2"/>
  <c r="L22" i="2"/>
  <c r="K22" i="2"/>
  <c r="I22" i="2"/>
  <c r="H22" i="2"/>
  <c r="J20" i="2"/>
  <c r="J22" i="2" s="1"/>
  <c r="J23" i="2" s="1"/>
  <c r="J24" i="2" s="1"/>
  <c r="J19" i="2"/>
  <c r="J18" i="2"/>
  <c r="P17" i="2"/>
  <c r="O17" i="2"/>
  <c r="N17" i="2"/>
  <c r="M17" i="2"/>
  <c r="L17" i="2"/>
  <c r="K17" i="2"/>
  <c r="AP120" i="10" l="1"/>
  <c r="AP104" i="10"/>
  <c r="AP86" i="10"/>
  <c r="AP77" i="10"/>
  <c r="AP78" i="10"/>
  <c r="AP116" i="10"/>
  <c r="AP87" i="10"/>
  <c r="AP88" i="10"/>
  <c r="AP67" i="10"/>
  <c r="AP89" i="10"/>
  <c r="AP121" i="10"/>
  <c r="AP99" i="10"/>
  <c r="AP85" i="10"/>
  <c r="AP108" i="10"/>
  <c r="AP76" i="10"/>
  <c r="AP70" i="10"/>
  <c r="AP109" i="10"/>
  <c r="AP115" i="10"/>
  <c r="AP117" i="10"/>
  <c r="AP72" i="10"/>
  <c r="AP73" i="10"/>
  <c r="AP119" i="10"/>
  <c r="AP114" i="10"/>
  <c r="AP66" i="10"/>
  <c r="AP110" i="10"/>
  <c r="AP103" i="10"/>
  <c r="AP62" i="10"/>
  <c r="AP97" i="10"/>
  <c r="AP98" i="10"/>
  <c r="AP113" i="10"/>
  <c r="AP102" i="10"/>
  <c r="AP107" i="10"/>
  <c r="AP118" i="10"/>
  <c r="AP100" i="10"/>
  <c r="AP96" i="10"/>
  <c r="AP82" i="10"/>
  <c r="AP65" i="10"/>
  <c r="AP80" i="10"/>
  <c r="AP94" i="10"/>
  <c r="AP63" i="10"/>
  <c r="AP106" i="10"/>
  <c r="AP92" i="10"/>
  <c r="AP75" i="10"/>
  <c r="AP90" i="10"/>
  <c r="AP83" i="10"/>
  <c r="AP69" i="10"/>
  <c r="AP112" i="10"/>
  <c r="AP95" i="10"/>
  <c r="AP81" i="10"/>
  <c r="AP111" i="10"/>
  <c r="AP101" i="10"/>
  <c r="AP91" i="10"/>
  <c r="AP84" i="10"/>
  <c r="AP74" i="10"/>
  <c r="AP71" i="10"/>
  <c r="AP64" i="10"/>
  <c r="AP93" i="10"/>
  <c r="AP79" i="10"/>
  <c r="AP122" i="10"/>
  <c r="AP105" i="10"/>
  <c r="AP68" i="10"/>
  <c r="B38" i="6"/>
  <c r="B39" i="6"/>
  <c r="B40" i="6"/>
  <c r="B41" i="6"/>
  <c r="AL120" i="10"/>
  <c r="AL110" i="10"/>
  <c r="AL100" i="10"/>
  <c r="AL90" i="10"/>
  <c r="AL80" i="10"/>
  <c r="AL70" i="10"/>
  <c r="AL119" i="10"/>
  <c r="AL109" i="10"/>
  <c r="AL99" i="10"/>
  <c r="AL89" i="10"/>
  <c r="AL79" i="10"/>
  <c r="AL69" i="10"/>
  <c r="AL107" i="10"/>
  <c r="AL97" i="10"/>
  <c r="AL87" i="10"/>
  <c r="AL67" i="10"/>
  <c r="AL116" i="10"/>
  <c r="AL96" i="10"/>
  <c r="AL76" i="10"/>
  <c r="AL105" i="10"/>
  <c r="AL85" i="10"/>
  <c r="AL65" i="10"/>
  <c r="AL114" i="10"/>
  <c r="AL84" i="10"/>
  <c r="AL64" i="10"/>
  <c r="AL113" i="10"/>
  <c r="AL103" i="10"/>
  <c r="AL93" i="10"/>
  <c r="AL83" i="10"/>
  <c r="AL73" i="10"/>
  <c r="AL63" i="10"/>
  <c r="AL122" i="10"/>
  <c r="AL112" i="10"/>
  <c r="AL102" i="10"/>
  <c r="AL92" i="10"/>
  <c r="AL82" i="10"/>
  <c r="AL72" i="10"/>
  <c r="AL62" i="10"/>
  <c r="AL121" i="10"/>
  <c r="AL111" i="10"/>
  <c r="AL101" i="10"/>
  <c r="AL91" i="10"/>
  <c r="AL81" i="10"/>
  <c r="AL71" i="10"/>
  <c r="AL118" i="10"/>
  <c r="AL108" i="10"/>
  <c r="AL98" i="10"/>
  <c r="AL88" i="10"/>
  <c r="AL78" i="10"/>
  <c r="AL68" i="10"/>
  <c r="AL117" i="10"/>
  <c r="AL77" i="10"/>
  <c r="AL106" i="10"/>
  <c r="AL86" i="10"/>
  <c r="AL66" i="10"/>
  <c r="AL115" i="10"/>
  <c r="AL95" i="10"/>
  <c r="AL75" i="10"/>
  <c r="AL104" i="10"/>
  <c r="AL94" i="10"/>
  <c r="AL74" i="10"/>
  <c r="A65" i="10"/>
  <c r="D63" i="10"/>
  <c r="B18" i="6"/>
  <c r="A64" i="6"/>
  <c r="AT64" i="6" s="1"/>
  <c r="B31" i="6"/>
  <c r="B32" i="6"/>
  <c r="AL62" i="6" s="1"/>
  <c r="BF95" i="10"/>
  <c r="BF106" i="10"/>
  <c r="BF89" i="10"/>
  <c r="BF86" i="10"/>
  <c r="BF119" i="10"/>
  <c r="BF116" i="10"/>
  <c r="BF88" i="10"/>
  <c r="BF103" i="10"/>
  <c r="BF118" i="10"/>
  <c r="BF84" i="10"/>
  <c r="BF65" i="10"/>
  <c r="BF80" i="10"/>
  <c r="BF87" i="10"/>
  <c r="BF112" i="10"/>
  <c r="BF111" i="10"/>
  <c r="BF91" i="10"/>
  <c r="BF76" i="10"/>
  <c r="BF82" i="10"/>
  <c r="BF81" i="10"/>
  <c r="B48" i="10" a="1"/>
  <c r="B48" i="10" s="1"/>
  <c r="B47" i="10" a="1"/>
  <c r="B47" i="10" s="1"/>
  <c r="B50" i="10" a="1"/>
  <c r="B50" i="10" s="1"/>
  <c r="B52" i="10" a="1"/>
  <c r="B52" i="10" s="1"/>
  <c r="B46" i="10" a="1"/>
  <c r="B46" i="10" s="1"/>
  <c r="B51" i="10" a="1"/>
  <c r="B51" i="10" s="1"/>
  <c r="B45" i="10" a="1"/>
  <c r="B45" i="10" s="1"/>
  <c r="B49" i="10" a="1"/>
  <c r="B49" i="10" s="1"/>
  <c r="BF66" i="10"/>
  <c r="BF110" i="10"/>
  <c r="B64" i="10"/>
  <c r="D64" i="10" s="1"/>
  <c r="BF90" i="10"/>
  <c r="BF67" i="10"/>
  <c r="BF78" i="10"/>
  <c r="BF93" i="10"/>
  <c r="BF63" i="10"/>
  <c r="BG63" i="10" s="1"/>
  <c r="T63" i="10" s="1"/>
  <c r="BF101" i="10"/>
  <c r="BF100" i="10"/>
  <c r="BF92" i="10"/>
  <c r="BF68" i="10"/>
  <c r="BF94" i="10"/>
  <c r="BF104" i="10"/>
  <c r="BF120" i="10"/>
  <c r="BF122" i="10"/>
  <c r="BF74" i="10"/>
  <c r="BF97" i="10"/>
  <c r="BF79" i="10"/>
  <c r="BF102" i="10"/>
  <c r="BF69" i="10"/>
  <c r="BF85" i="10"/>
  <c r="BF105" i="10"/>
  <c r="B19" i="10"/>
  <c r="BF62" i="10"/>
  <c r="BG62" i="10" s="1"/>
  <c r="T62" i="10" s="1"/>
  <c r="C38" i="10"/>
  <c r="C39" i="10" s="1"/>
  <c r="BF83" i="10"/>
  <c r="BF73" i="10"/>
  <c r="BF70" i="10"/>
  <c r="BF109" i="10"/>
  <c r="BF115" i="10"/>
  <c r="BF64" i="10"/>
  <c r="BF75" i="10"/>
  <c r="BF71" i="10"/>
  <c r="BF96" i="10"/>
  <c r="BF99" i="10"/>
  <c r="BF113" i="10"/>
  <c r="BF121" i="10"/>
  <c r="AH120" i="10"/>
  <c r="AH118" i="10"/>
  <c r="AH117" i="10"/>
  <c r="AH116" i="10"/>
  <c r="AH115" i="10"/>
  <c r="AH103" i="10"/>
  <c r="AH106" i="10"/>
  <c r="AH105" i="10"/>
  <c r="AH98" i="10"/>
  <c r="AH97" i="10"/>
  <c r="AH96" i="10"/>
  <c r="AH95" i="10"/>
  <c r="AH94" i="10"/>
  <c r="AH93" i="10"/>
  <c r="AH92" i="10"/>
  <c r="AH91" i="10"/>
  <c r="AH90" i="10"/>
  <c r="AH89" i="10"/>
  <c r="AH88" i="10"/>
  <c r="AH87" i="10"/>
  <c r="AH86" i="10"/>
  <c r="AH85" i="10"/>
  <c r="AH84" i="10"/>
  <c r="AH83" i="10"/>
  <c r="AH82" i="10"/>
  <c r="AH81" i="10"/>
  <c r="AH119" i="10"/>
  <c r="AH99" i="10"/>
  <c r="AH121" i="10"/>
  <c r="AH109" i="10"/>
  <c r="AH114" i="10"/>
  <c r="AH104" i="10"/>
  <c r="AH102" i="10"/>
  <c r="AH100" i="10"/>
  <c r="AH110" i="10"/>
  <c r="AH101" i="10"/>
  <c r="AH72" i="10"/>
  <c r="AH71" i="10"/>
  <c r="AH70" i="10"/>
  <c r="AH69" i="10"/>
  <c r="AH68" i="10"/>
  <c r="AH67" i="10"/>
  <c r="AH66" i="10"/>
  <c r="AH65" i="10"/>
  <c r="AH122" i="10"/>
  <c r="AH113" i="10"/>
  <c r="AH77" i="10"/>
  <c r="AH75" i="10"/>
  <c r="AH73" i="10"/>
  <c r="AH112" i="10"/>
  <c r="AH111" i="10"/>
  <c r="AH108" i="10"/>
  <c r="AH107" i="10"/>
  <c r="AH80" i="10"/>
  <c r="AH64" i="10"/>
  <c r="AH63" i="10"/>
  <c r="AH62" i="10"/>
  <c r="AH74" i="10"/>
  <c r="AH79" i="10"/>
  <c r="AH78" i="10"/>
  <c r="AH76" i="10"/>
  <c r="BF77" i="10"/>
  <c r="BF107" i="10"/>
  <c r="BF72" i="10"/>
  <c r="BF98" i="10"/>
  <c r="BF108" i="10"/>
  <c r="BF114" i="10"/>
  <c r="BF117" i="10"/>
  <c r="C122" i="6"/>
  <c r="C113" i="6"/>
  <c r="C103" i="6"/>
  <c r="C94" i="6"/>
  <c r="C84" i="6"/>
  <c r="C74" i="6"/>
  <c r="C64" i="6"/>
  <c r="C93" i="6"/>
  <c r="C83" i="6"/>
  <c r="C73" i="6"/>
  <c r="C63" i="6"/>
  <c r="C91" i="6"/>
  <c r="C71" i="6"/>
  <c r="C109" i="6"/>
  <c r="C100" i="6"/>
  <c r="C80" i="6"/>
  <c r="C118" i="6"/>
  <c r="C99" i="6"/>
  <c r="C79" i="6"/>
  <c r="C117" i="6"/>
  <c r="C88" i="6"/>
  <c r="C68" i="6"/>
  <c r="C97" i="6"/>
  <c r="C115" i="6"/>
  <c r="C76" i="6"/>
  <c r="C95" i="6"/>
  <c r="C121" i="6"/>
  <c r="C112" i="6"/>
  <c r="C90" i="6"/>
  <c r="C70" i="6"/>
  <c r="C108" i="6"/>
  <c r="C89" i="6"/>
  <c r="C107" i="6"/>
  <c r="C78" i="6"/>
  <c r="C106" i="6"/>
  <c r="C77" i="6"/>
  <c r="C105" i="6"/>
  <c r="C86" i="6"/>
  <c r="C104" i="6"/>
  <c r="C65" i="6"/>
  <c r="C120" i="6"/>
  <c r="C111" i="6"/>
  <c r="C102" i="6"/>
  <c r="C92" i="6"/>
  <c r="C82" i="6"/>
  <c r="C72" i="6"/>
  <c r="C101" i="6"/>
  <c r="C69" i="6"/>
  <c r="C98" i="6"/>
  <c r="C116" i="6"/>
  <c r="C87" i="6"/>
  <c r="C67" i="6"/>
  <c r="C96" i="6"/>
  <c r="C66" i="6"/>
  <c r="C114" i="6"/>
  <c r="C85" i="6"/>
  <c r="C119" i="6"/>
  <c r="C110" i="6"/>
  <c r="C81" i="6"/>
  <c r="C75" i="6"/>
  <c r="C62" i="6"/>
  <c r="D62" i="6" s="1"/>
  <c r="B17" i="6"/>
  <c r="BE64" i="6"/>
  <c r="BB63" i="6"/>
  <c r="AY62" i="6"/>
  <c r="AY63" i="6"/>
  <c r="AT62" i="6"/>
  <c r="BE63" i="6"/>
  <c r="AY64" i="6"/>
  <c r="AT63" i="6"/>
  <c r="BB62" i="6"/>
  <c r="AS97" i="6"/>
  <c r="AS81" i="6"/>
  <c r="AS74" i="6"/>
  <c r="AS121" i="6"/>
  <c r="AS67" i="6"/>
  <c r="AS104" i="6"/>
  <c r="AS91" i="6"/>
  <c r="AS114" i="6"/>
  <c r="AS84" i="6"/>
  <c r="AS107" i="6"/>
  <c r="AS77" i="6"/>
  <c r="AS101" i="6"/>
  <c r="AS71" i="6"/>
  <c r="AS94" i="6"/>
  <c r="AS117" i="6"/>
  <c r="AS64" i="6"/>
  <c r="AS87" i="6"/>
  <c r="AS111" i="6"/>
  <c r="AS68" i="6"/>
  <c r="AS78" i="6"/>
  <c r="AS88" i="6"/>
  <c r="AS98" i="6"/>
  <c r="AS108" i="6"/>
  <c r="AS118" i="6"/>
  <c r="AS65" i="6"/>
  <c r="AS75" i="6"/>
  <c r="AS85" i="6"/>
  <c r="AS95" i="6"/>
  <c r="AS105" i="6"/>
  <c r="AS115" i="6"/>
  <c r="AS72" i="6"/>
  <c r="AS82" i="6"/>
  <c r="AS92" i="6"/>
  <c r="AS102" i="6"/>
  <c r="AS112" i="6"/>
  <c r="AS122" i="6"/>
  <c r="AS69" i="6"/>
  <c r="AS79" i="6"/>
  <c r="AS89" i="6"/>
  <c r="AS99" i="6"/>
  <c r="AS109" i="6"/>
  <c r="AS119" i="6"/>
  <c r="AS66" i="6"/>
  <c r="AS76" i="6"/>
  <c r="AS86" i="6"/>
  <c r="AS96" i="6"/>
  <c r="AS106" i="6"/>
  <c r="AS116" i="6"/>
  <c r="AS63" i="6"/>
  <c r="AS73" i="6"/>
  <c r="AS83" i="6"/>
  <c r="AS93" i="6"/>
  <c r="AS103" i="6"/>
  <c r="AS113" i="6"/>
  <c r="AS70" i="6"/>
  <c r="AS80" i="6"/>
  <c r="AS90" i="6"/>
  <c r="AS100" i="6"/>
  <c r="AS110" i="6"/>
  <c r="AS120" i="6"/>
  <c r="B44" i="6"/>
  <c r="AS62" i="6"/>
  <c r="B28" i="6"/>
  <c r="B36" i="6" s="1"/>
  <c r="B63" i="6"/>
  <c r="B64" i="6"/>
  <c r="A66" i="10" l="1"/>
  <c r="BB64" i="6"/>
  <c r="BF64" i="6" s="1"/>
  <c r="BG64" i="6" s="1"/>
  <c r="T64" i="6" s="1"/>
  <c r="AP122" i="6"/>
  <c r="AP112" i="6"/>
  <c r="AP102" i="6"/>
  <c r="AP92" i="6"/>
  <c r="AP82" i="6"/>
  <c r="AP72" i="6"/>
  <c r="AP62" i="6"/>
  <c r="AP111" i="6"/>
  <c r="AP101" i="6"/>
  <c r="AP91" i="6"/>
  <c r="AP81" i="6"/>
  <c r="AP71" i="6"/>
  <c r="AP110" i="6"/>
  <c r="AP100" i="6"/>
  <c r="AP90" i="6"/>
  <c r="AP80" i="6"/>
  <c r="AP70" i="6"/>
  <c r="AP99" i="6"/>
  <c r="AP89" i="6"/>
  <c r="AP79" i="6"/>
  <c r="AP121" i="6"/>
  <c r="AP120" i="6"/>
  <c r="AP119" i="6"/>
  <c r="AP109" i="6"/>
  <c r="AP69" i="6"/>
  <c r="AP118" i="6"/>
  <c r="AP108" i="6"/>
  <c r="AP98" i="6"/>
  <c r="AP88" i="6"/>
  <c r="AP78" i="6"/>
  <c r="AP68" i="6"/>
  <c r="AP117" i="6"/>
  <c r="AP107" i="6"/>
  <c r="AP97" i="6"/>
  <c r="AP87" i="6"/>
  <c r="AP77" i="6"/>
  <c r="AP67" i="6"/>
  <c r="AP116" i="6"/>
  <c r="AP106" i="6"/>
  <c r="AP96" i="6"/>
  <c r="AP86" i="6"/>
  <c r="AP76" i="6"/>
  <c r="AP66" i="6"/>
  <c r="AP105" i="6"/>
  <c r="AP95" i="6"/>
  <c r="AP85" i="6"/>
  <c r="AP75" i="6"/>
  <c r="AP65" i="6"/>
  <c r="AP114" i="6"/>
  <c r="AP104" i="6"/>
  <c r="AP94" i="6"/>
  <c r="AP84" i="6"/>
  <c r="AP74" i="6"/>
  <c r="AP64" i="6"/>
  <c r="AP113" i="6"/>
  <c r="AP93" i="6"/>
  <c r="AP63" i="6"/>
  <c r="AP115" i="6"/>
  <c r="AP103" i="6"/>
  <c r="AP83" i="6"/>
  <c r="AP73" i="6"/>
  <c r="AL63" i="6"/>
  <c r="A65" i="6"/>
  <c r="AL64" i="6"/>
  <c r="D63" i="6"/>
  <c r="D64" i="6"/>
  <c r="D38" i="10"/>
  <c r="BG64" i="10"/>
  <c r="T64" i="10" s="1"/>
  <c r="B65" i="10"/>
  <c r="D65" i="10" s="1"/>
  <c r="BG65" i="10"/>
  <c r="T65" i="10" s="1"/>
  <c r="C40" i="10"/>
  <c r="D39" i="10"/>
  <c r="B21" i="10"/>
  <c r="B22" i="10" a="1"/>
  <c r="B22" i="10" s="1"/>
  <c r="B26" i="10" a="1"/>
  <c r="B26" i="10" s="1"/>
  <c r="B25" i="10" a="1"/>
  <c r="B25" i="10" s="1"/>
  <c r="B24" i="10"/>
  <c r="B23" i="10"/>
  <c r="B19" i="6"/>
  <c r="B25" i="6" s="1" a="1"/>
  <c r="B25" i="6" s="1"/>
  <c r="BF62" i="6"/>
  <c r="BG62" i="6" s="1"/>
  <c r="T62" i="6" s="1"/>
  <c r="BF63" i="6"/>
  <c r="BG63" i="6" s="1"/>
  <c r="T63" i="6" s="1"/>
  <c r="C38" i="6"/>
  <c r="C39" i="6" s="1"/>
  <c r="C40" i="6" s="1"/>
  <c r="C41" i="6" s="1"/>
  <c r="B49" i="6" a="1"/>
  <c r="B49" i="6" s="1"/>
  <c r="B45" i="6" a="1"/>
  <c r="B45" i="6" s="1"/>
  <c r="B52" i="6" a="1"/>
  <c r="B52" i="6" s="1"/>
  <c r="B51" i="6" a="1"/>
  <c r="B51" i="6" s="1"/>
  <c r="B50" i="6" a="1"/>
  <c r="B50" i="6" s="1"/>
  <c r="B48" i="6" a="1"/>
  <c r="B48" i="6" s="1"/>
  <c r="B47" i="6" a="1"/>
  <c r="B47" i="6" s="1"/>
  <c r="B46" i="6" a="1"/>
  <c r="B46" i="6" s="1"/>
  <c r="AH114" i="6"/>
  <c r="AH104" i="6"/>
  <c r="AH94" i="6"/>
  <c r="AH84" i="6"/>
  <c r="AH74" i="6"/>
  <c r="AH64" i="6"/>
  <c r="AH113" i="6"/>
  <c r="AH103" i="6"/>
  <c r="AH93" i="6"/>
  <c r="AH83" i="6"/>
  <c r="AH73" i="6"/>
  <c r="AH63" i="6"/>
  <c r="AH106" i="6"/>
  <c r="AH76" i="6"/>
  <c r="AH115" i="6"/>
  <c r="AH95" i="6"/>
  <c r="AH75" i="6"/>
  <c r="AH122" i="6"/>
  <c r="AH112" i="6"/>
  <c r="AH102" i="6"/>
  <c r="AH92" i="6"/>
  <c r="AH82" i="6"/>
  <c r="AH72" i="6"/>
  <c r="AH62" i="6"/>
  <c r="AH96" i="6"/>
  <c r="AH121" i="6"/>
  <c r="AH111" i="6"/>
  <c r="AH101" i="6"/>
  <c r="AH91" i="6"/>
  <c r="AH81" i="6"/>
  <c r="AH71" i="6"/>
  <c r="AH86" i="6"/>
  <c r="AH120" i="6"/>
  <c r="AH110" i="6"/>
  <c r="AH100" i="6"/>
  <c r="AH90" i="6"/>
  <c r="AH80" i="6"/>
  <c r="AH70" i="6"/>
  <c r="AH118" i="6"/>
  <c r="AH108" i="6"/>
  <c r="AH98" i="6"/>
  <c r="AH88" i="6"/>
  <c r="AH78" i="6"/>
  <c r="AH68" i="6"/>
  <c r="AH116" i="6"/>
  <c r="AH66" i="6"/>
  <c r="AH65" i="6"/>
  <c r="AH119" i="6"/>
  <c r="AH109" i="6"/>
  <c r="AH99" i="6"/>
  <c r="AH89" i="6"/>
  <c r="AH79" i="6"/>
  <c r="AH69" i="6"/>
  <c r="AH117" i="6"/>
  <c r="AH107" i="6"/>
  <c r="AH97" i="6"/>
  <c r="AH87" i="6"/>
  <c r="AH77" i="6"/>
  <c r="AH67" i="6"/>
  <c r="AH105" i="6"/>
  <c r="AH85" i="6"/>
  <c r="A67" i="10" l="1"/>
  <c r="AY65" i="6"/>
  <c r="AT65" i="6"/>
  <c r="BB65" i="6"/>
  <c r="BF65" i="6" s="1"/>
  <c r="A66" i="6"/>
  <c r="AL65" i="6"/>
  <c r="B65" i="6"/>
  <c r="D65" i="6" s="1"/>
  <c r="BE65" i="6"/>
  <c r="B27" i="10"/>
  <c r="X63" i="10"/>
  <c r="X62" i="10"/>
  <c r="Y65" i="10"/>
  <c r="Y62" i="10"/>
  <c r="Y64" i="10"/>
  <c r="Y63" i="10"/>
  <c r="X64" i="10"/>
  <c r="W118" i="10"/>
  <c r="W117" i="10"/>
  <c r="W105" i="10"/>
  <c r="W116" i="10"/>
  <c r="W115" i="10"/>
  <c r="W114" i="10"/>
  <c r="W113" i="10"/>
  <c r="W122" i="10"/>
  <c r="W121" i="10"/>
  <c r="W119" i="10"/>
  <c r="W112" i="10"/>
  <c r="W111" i="10"/>
  <c r="W99" i="10"/>
  <c r="W98" i="10"/>
  <c r="W97" i="10"/>
  <c r="W96" i="10"/>
  <c r="W95" i="10"/>
  <c r="W94" i="10"/>
  <c r="W93" i="10"/>
  <c r="W92" i="10"/>
  <c r="W91" i="10"/>
  <c r="W90" i="10"/>
  <c r="W89" i="10"/>
  <c r="W88" i="10"/>
  <c r="W87" i="10"/>
  <c r="W86" i="10"/>
  <c r="W85" i="10"/>
  <c r="W84" i="10"/>
  <c r="W83" i="10"/>
  <c r="W82" i="10"/>
  <c r="W81" i="10"/>
  <c r="W110" i="10"/>
  <c r="W108" i="10"/>
  <c r="W102" i="10"/>
  <c r="W101" i="10"/>
  <c r="W104" i="10"/>
  <c r="W103" i="10"/>
  <c r="W107" i="10"/>
  <c r="W106" i="10"/>
  <c r="W100" i="10"/>
  <c r="W120" i="10"/>
  <c r="W77" i="10"/>
  <c r="W75" i="10"/>
  <c r="W73" i="10"/>
  <c r="W72" i="10"/>
  <c r="W71" i="10"/>
  <c r="W70" i="10"/>
  <c r="W69" i="10"/>
  <c r="W68" i="10"/>
  <c r="W67" i="10"/>
  <c r="W66" i="10"/>
  <c r="W65" i="10"/>
  <c r="W80" i="10"/>
  <c r="W109" i="10"/>
  <c r="W62" i="10"/>
  <c r="W64" i="10"/>
  <c r="W63" i="10"/>
  <c r="W74" i="10"/>
  <c r="W78" i="10"/>
  <c r="W79" i="10"/>
  <c r="W76" i="10"/>
  <c r="X65" i="10"/>
  <c r="B66" i="10"/>
  <c r="D66" i="10" s="1"/>
  <c r="Y66" i="10" s="1"/>
  <c r="BG66" i="10"/>
  <c r="T66" i="10" s="1"/>
  <c r="C41" i="10"/>
  <c r="D40" i="10"/>
  <c r="B22" i="6" a="1"/>
  <c r="B22" i="6" s="1"/>
  <c r="B21" i="6"/>
  <c r="W121" i="6" s="1"/>
  <c r="AB121" i="6" s="1"/>
  <c r="AC121" i="6" s="1"/>
  <c r="AD121" i="6" s="1"/>
  <c r="B26" i="6" a="1"/>
  <c r="B26" i="6" s="1"/>
  <c r="B24" i="6"/>
  <c r="B23" i="6"/>
  <c r="D38" i="6"/>
  <c r="D39" i="6"/>
  <c r="BG65" i="6" l="1"/>
  <c r="T65" i="6" s="1"/>
  <c r="A68" i="10"/>
  <c r="AT66" i="6"/>
  <c r="AY66" i="6"/>
  <c r="BB66" i="6"/>
  <c r="A67" i="6"/>
  <c r="AL66" i="6"/>
  <c r="BE66" i="6"/>
  <c r="B66" i="6"/>
  <c r="D66" i="6" s="1"/>
  <c r="X66" i="6" s="1"/>
  <c r="B27" i="6"/>
  <c r="W82" i="6"/>
  <c r="AB82" i="6" s="1"/>
  <c r="AC82" i="6" s="1"/>
  <c r="AD82" i="6" s="1"/>
  <c r="AE82" i="6" s="1"/>
  <c r="AB64" i="10"/>
  <c r="AC64" i="10" s="1"/>
  <c r="AD64" i="10" s="1"/>
  <c r="AE64" i="10" s="1"/>
  <c r="AB71" i="10"/>
  <c r="AC71" i="10" s="1"/>
  <c r="AD71" i="10" s="1"/>
  <c r="AE71" i="10" s="1"/>
  <c r="AB104" i="10"/>
  <c r="AC104" i="10" s="1"/>
  <c r="AD104" i="10" s="1"/>
  <c r="AE104" i="10" s="1"/>
  <c r="AB86" i="10"/>
  <c r="AC86" i="10" s="1"/>
  <c r="AD86" i="10" s="1"/>
  <c r="AE86" i="10" s="1"/>
  <c r="AB96" i="10"/>
  <c r="AC96" i="10" s="1"/>
  <c r="AD96" i="10" s="1"/>
  <c r="AE96" i="10" s="1"/>
  <c r="AB114" i="10"/>
  <c r="AC114" i="10" s="1"/>
  <c r="AD114" i="10" s="1"/>
  <c r="AE114" i="10" s="1"/>
  <c r="B67" i="10"/>
  <c r="D67" i="10" s="1"/>
  <c r="Y67" i="10" s="1"/>
  <c r="BG67" i="10"/>
  <c r="T67" i="10" s="1"/>
  <c r="AB62" i="10"/>
  <c r="AC62" i="10" s="1"/>
  <c r="AD62" i="10" s="1"/>
  <c r="AE62" i="10" s="1"/>
  <c r="AB72" i="10"/>
  <c r="AC72" i="10" s="1"/>
  <c r="AD72" i="10" s="1"/>
  <c r="AE72" i="10" s="1"/>
  <c r="AB101" i="10"/>
  <c r="AC101" i="10" s="1"/>
  <c r="AD101" i="10" s="1"/>
  <c r="AE101" i="10" s="1"/>
  <c r="AB87" i="10"/>
  <c r="AC87" i="10" s="1"/>
  <c r="AD87" i="10" s="1"/>
  <c r="AE87" i="10" s="1"/>
  <c r="AB97" i="10"/>
  <c r="AC97" i="10" s="1"/>
  <c r="AD97" i="10" s="1"/>
  <c r="AE97" i="10" s="1"/>
  <c r="AB115" i="10"/>
  <c r="AC115" i="10" s="1"/>
  <c r="AD115" i="10" s="1"/>
  <c r="AE115" i="10" s="1"/>
  <c r="X66" i="10"/>
  <c r="Z66" i="10" s="1"/>
  <c r="AA66" i="10" s="1"/>
  <c r="AB109" i="10"/>
  <c r="AC109" i="10" s="1"/>
  <c r="AD109" i="10" s="1"/>
  <c r="AE109" i="10" s="1"/>
  <c r="AB73" i="10"/>
  <c r="AC73" i="10" s="1"/>
  <c r="AD73" i="10" s="1"/>
  <c r="AE73" i="10" s="1"/>
  <c r="AB102" i="10"/>
  <c r="AC102" i="10" s="1"/>
  <c r="AD102" i="10" s="1"/>
  <c r="AE102" i="10" s="1"/>
  <c r="AB88" i="10"/>
  <c r="AC88" i="10" s="1"/>
  <c r="AD88" i="10" s="1"/>
  <c r="AE88" i="10" s="1"/>
  <c r="AB98" i="10"/>
  <c r="AC98" i="10" s="1"/>
  <c r="AD98" i="10" s="1"/>
  <c r="AE98" i="10" s="1"/>
  <c r="AB116" i="10"/>
  <c r="AC116" i="10" s="1"/>
  <c r="AD116" i="10" s="1"/>
  <c r="AE116" i="10" s="1"/>
  <c r="Z65" i="10"/>
  <c r="AA65" i="10" s="1"/>
  <c r="AB80" i="10"/>
  <c r="AC80" i="10" s="1"/>
  <c r="AD80" i="10" s="1"/>
  <c r="AE80" i="10" s="1"/>
  <c r="AB75" i="10"/>
  <c r="AC75" i="10" s="1"/>
  <c r="AD75" i="10" s="1"/>
  <c r="AE75" i="10" s="1"/>
  <c r="AB108" i="10"/>
  <c r="AC108" i="10" s="1"/>
  <c r="AD108" i="10" s="1"/>
  <c r="AE108" i="10" s="1"/>
  <c r="AB89" i="10"/>
  <c r="AC89" i="10" s="1"/>
  <c r="AD89" i="10" s="1"/>
  <c r="AE89" i="10" s="1"/>
  <c r="AB99" i="10"/>
  <c r="AC99" i="10" s="1"/>
  <c r="AD99" i="10" s="1"/>
  <c r="AE99" i="10" s="1"/>
  <c r="AB105" i="10"/>
  <c r="AC105" i="10" s="1"/>
  <c r="AD105" i="10" s="1"/>
  <c r="AE105" i="10" s="1"/>
  <c r="AB65" i="10"/>
  <c r="AC65" i="10" s="1"/>
  <c r="AD65" i="10" s="1"/>
  <c r="AE65" i="10" s="1"/>
  <c r="AB77" i="10"/>
  <c r="AC77" i="10" s="1"/>
  <c r="AD77" i="10" s="1"/>
  <c r="AE77" i="10" s="1"/>
  <c r="AB110" i="10"/>
  <c r="AC110" i="10" s="1"/>
  <c r="AD110" i="10" s="1"/>
  <c r="AE110" i="10" s="1"/>
  <c r="AB90" i="10"/>
  <c r="AC90" i="10" s="1"/>
  <c r="AD90" i="10" s="1"/>
  <c r="AE90" i="10" s="1"/>
  <c r="AB111" i="10"/>
  <c r="AC111" i="10" s="1"/>
  <c r="AD111" i="10" s="1"/>
  <c r="AE111" i="10" s="1"/>
  <c r="AB117" i="10"/>
  <c r="AC117" i="10" s="1"/>
  <c r="AD117" i="10" s="1"/>
  <c r="AE117" i="10" s="1"/>
  <c r="AB76" i="10"/>
  <c r="AC76" i="10" s="1"/>
  <c r="AD76" i="10" s="1"/>
  <c r="AE76" i="10" s="1"/>
  <c r="AB66" i="10"/>
  <c r="AC66" i="10" s="1"/>
  <c r="AD66" i="10" s="1"/>
  <c r="AE66" i="10" s="1"/>
  <c r="AB120" i="10"/>
  <c r="AC120" i="10" s="1"/>
  <c r="AD120" i="10" s="1"/>
  <c r="AE120" i="10" s="1"/>
  <c r="AB81" i="10"/>
  <c r="AC81" i="10" s="1"/>
  <c r="AD81" i="10" s="1"/>
  <c r="AE81" i="10" s="1"/>
  <c r="AB91" i="10"/>
  <c r="AC91" i="10" s="1"/>
  <c r="AD91" i="10" s="1"/>
  <c r="AE91" i="10" s="1"/>
  <c r="AB112" i="10"/>
  <c r="AC112" i="10" s="1"/>
  <c r="AD112" i="10" s="1"/>
  <c r="AE112" i="10" s="1"/>
  <c r="AB118" i="10"/>
  <c r="AC118" i="10" s="1"/>
  <c r="AD118" i="10" s="1"/>
  <c r="AE118" i="10" s="1"/>
  <c r="AB79" i="10"/>
  <c r="AC79" i="10" s="1"/>
  <c r="AD79" i="10" s="1"/>
  <c r="AE79" i="10" s="1"/>
  <c r="AB67" i="10"/>
  <c r="AC67" i="10" s="1"/>
  <c r="AD67" i="10" s="1"/>
  <c r="AE67" i="10" s="1"/>
  <c r="AB100" i="10"/>
  <c r="AC100" i="10" s="1"/>
  <c r="AD100" i="10" s="1"/>
  <c r="AE100" i="10" s="1"/>
  <c r="AB82" i="10"/>
  <c r="AC82" i="10" s="1"/>
  <c r="AD82" i="10" s="1"/>
  <c r="AE82" i="10" s="1"/>
  <c r="AB92" i="10"/>
  <c r="AC92" i="10" s="1"/>
  <c r="AD92" i="10" s="1"/>
  <c r="AE92" i="10" s="1"/>
  <c r="AB119" i="10"/>
  <c r="AC119" i="10" s="1"/>
  <c r="AD119" i="10" s="1"/>
  <c r="AE119" i="10" s="1"/>
  <c r="Z64" i="10"/>
  <c r="AA64" i="10" s="1"/>
  <c r="AB78" i="10"/>
  <c r="AC78" i="10" s="1"/>
  <c r="AD78" i="10" s="1"/>
  <c r="AE78" i="10" s="1"/>
  <c r="AB68" i="10"/>
  <c r="AC68" i="10" s="1"/>
  <c r="AD68" i="10" s="1"/>
  <c r="AE68" i="10" s="1"/>
  <c r="AB106" i="10"/>
  <c r="AC106" i="10" s="1"/>
  <c r="AD106" i="10" s="1"/>
  <c r="AE106" i="10" s="1"/>
  <c r="AB83" i="10"/>
  <c r="AC83" i="10" s="1"/>
  <c r="AD83" i="10" s="1"/>
  <c r="AE83" i="10" s="1"/>
  <c r="AB93" i="10"/>
  <c r="AC93" i="10" s="1"/>
  <c r="AD93" i="10" s="1"/>
  <c r="AE93" i="10" s="1"/>
  <c r="AB121" i="10"/>
  <c r="AC121" i="10" s="1"/>
  <c r="AD121" i="10" s="1"/>
  <c r="AE121" i="10" s="1"/>
  <c r="AB74" i="10"/>
  <c r="AC74" i="10" s="1"/>
  <c r="AD74" i="10" s="1"/>
  <c r="AE74" i="10" s="1"/>
  <c r="AB69" i="10"/>
  <c r="AC69" i="10" s="1"/>
  <c r="AD69" i="10" s="1"/>
  <c r="AE69" i="10" s="1"/>
  <c r="AB107" i="10"/>
  <c r="AC107" i="10" s="1"/>
  <c r="AD107" i="10" s="1"/>
  <c r="AE107" i="10" s="1"/>
  <c r="AB84" i="10"/>
  <c r="AC84" i="10" s="1"/>
  <c r="AD84" i="10" s="1"/>
  <c r="AE84" i="10" s="1"/>
  <c r="AB94" i="10"/>
  <c r="AC94" i="10" s="1"/>
  <c r="AD94" i="10" s="1"/>
  <c r="AE94" i="10" s="1"/>
  <c r="AB122" i="10"/>
  <c r="AC122" i="10" s="1"/>
  <c r="AD122" i="10" s="1"/>
  <c r="AE122" i="10" s="1"/>
  <c r="Z62" i="10"/>
  <c r="AA62" i="10" s="1"/>
  <c r="W108" i="6"/>
  <c r="AB108" i="6" s="1"/>
  <c r="AC108" i="6" s="1"/>
  <c r="AD108" i="6" s="1"/>
  <c r="AE108" i="6" s="1"/>
  <c r="AB63" i="10"/>
  <c r="AC63" i="10" s="1"/>
  <c r="AD63" i="10" s="1"/>
  <c r="AE63" i="10" s="1"/>
  <c r="AB70" i="10"/>
  <c r="AC70" i="10" s="1"/>
  <c r="AD70" i="10" s="1"/>
  <c r="AE70" i="10" s="1"/>
  <c r="AB103" i="10"/>
  <c r="AC103" i="10" s="1"/>
  <c r="AD103" i="10" s="1"/>
  <c r="AE103" i="10" s="1"/>
  <c r="AB85" i="10"/>
  <c r="AC85" i="10" s="1"/>
  <c r="AD85" i="10" s="1"/>
  <c r="AE85" i="10" s="1"/>
  <c r="AB95" i="10"/>
  <c r="AC95" i="10" s="1"/>
  <c r="AD95" i="10" s="1"/>
  <c r="AE95" i="10" s="1"/>
  <c r="AB113" i="10"/>
  <c r="AC113" i="10" s="1"/>
  <c r="AD113" i="10" s="1"/>
  <c r="AE113" i="10" s="1"/>
  <c r="Z63" i="10"/>
  <c r="AA63" i="10" s="1"/>
  <c r="W93" i="6"/>
  <c r="AB93" i="6" s="1"/>
  <c r="AC93" i="6" s="1"/>
  <c r="AD93" i="6" s="1"/>
  <c r="AE93" i="6" s="1"/>
  <c r="W113" i="6"/>
  <c r="AB113" i="6" s="1"/>
  <c r="AC113" i="6" s="1"/>
  <c r="AD113" i="6" s="1"/>
  <c r="AE113" i="6" s="1"/>
  <c r="W111" i="6"/>
  <c r="AB111" i="6" s="1"/>
  <c r="AC111" i="6" s="1"/>
  <c r="AD111" i="6" s="1"/>
  <c r="AE111" i="6" s="1"/>
  <c r="W116" i="6"/>
  <c r="AB116" i="6" s="1"/>
  <c r="AC116" i="6" s="1"/>
  <c r="AD116" i="6" s="1"/>
  <c r="AE116" i="6" s="1"/>
  <c r="W78" i="6"/>
  <c r="AB78" i="6" s="1"/>
  <c r="AC78" i="6" s="1"/>
  <c r="AD78" i="6" s="1"/>
  <c r="AE78" i="6" s="1"/>
  <c r="W88" i="6"/>
  <c r="AB88" i="6" s="1"/>
  <c r="AC88" i="6" s="1"/>
  <c r="AD88" i="6" s="1"/>
  <c r="AE88" i="6" s="1"/>
  <c r="W98" i="6"/>
  <c r="AB98" i="6" s="1"/>
  <c r="AC98" i="6" s="1"/>
  <c r="AD98" i="6" s="1"/>
  <c r="AE98" i="6" s="1"/>
  <c r="W72" i="6"/>
  <c r="AB72" i="6" s="1"/>
  <c r="AC72" i="6" s="1"/>
  <c r="AD72" i="6" s="1"/>
  <c r="AE72" i="6" s="1"/>
  <c r="W95" i="6"/>
  <c r="AB95" i="6" s="1"/>
  <c r="AC95" i="6" s="1"/>
  <c r="AD95" i="6" s="1"/>
  <c r="AE95" i="6" s="1"/>
  <c r="W69" i="6"/>
  <c r="AB69" i="6" s="1"/>
  <c r="AC69" i="6" s="1"/>
  <c r="AD69" i="6" s="1"/>
  <c r="AE69" i="6" s="1"/>
  <c r="W64" i="6"/>
  <c r="AB64" i="6" s="1"/>
  <c r="AC64" i="6" s="1"/>
  <c r="AD64" i="6" s="1"/>
  <c r="AE64" i="6" s="1"/>
  <c r="W66" i="6"/>
  <c r="AB66" i="6" s="1"/>
  <c r="AC66" i="6" s="1"/>
  <c r="AD66" i="6" s="1"/>
  <c r="AE66" i="6" s="1"/>
  <c r="W99" i="6"/>
  <c r="AB99" i="6" s="1"/>
  <c r="AC99" i="6" s="1"/>
  <c r="AD99" i="6" s="1"/>
  <c r="AE99" i="6" s="1"/>
  <c r="W74" i="6"/>
  <c r="AB74" i="6" s="1"/>
  <c r="AC74" i="6" s="1"/>
  <c r="AD74" i="6" s="1"/>
  <c r="AE74" i="6" s="1"/>
  <c r="W76" i="6"/>
  <c r="AB76" i="6" s="1"/>
  <c r="AC76" i="6" s="1"/>
  <c r="AD76" i="6" s="1"/>
  <c r="AE76" i="6" s="1"/>
  <c r="W110" i="6"/>
  <c r="AB110" i="6" s="1"/>
  <c r="AC110" i="6" s="1"/>
  <c r="AD110" i="6" s="1"/>
  <c r="AE110" i="6" s="1"/>
  <c r="W84" i="6"/>
  <c r="AB84" i="6" s="1"/>
  <c r="AC84" i="6" s="1"/>
  <c r="AD84" i="6" s="1"/>
  <c r="AE84" i="6" s="1"/>
  <c r="W96" i="6"/>
  <c r="AB96" i="6" s="1"/>
  <c r="AC96" i="6" s="1"/>
  <c r="AD96" i="6" s="1"/>
  <c r="AE96" i="6" s="1"/>
  <c r="W71" i="6"/>
  <c r="AB71" i="6" s="1"/>
  <c r="AC71" i="6" s="1"/>
  <c r="AD71" i="6" s="1"/>
  <c r="AE71" i="6" s="1"/>
  <c r="W119" i="6"/>
  <c r="AB119" i="6" s="1"/>
  <c r="AC119" i="6" s="1"/>
  <c r="AD119" i="6" s="1"/>
  <c r="AE119" i="6" s="1"/>
  <c r="W106" i="6"/>
  <c r="AB106" i="6" s="1"/>
  <c r="AC106" i="6" s="1"/>
  <c r="AD106" i="6" s="1"/>
  <c r="AE106" i="6" s="1"/>
  <c r="W101" i="6"/>
  <c r="AB101" i="6" s="1"/>
  <c r="AC101" i="6" s="1"/>
  <c r="AD101" i="6" s="1"/>
  <c r="AE101" i="6" s="1"/>
  <c r="AE121" i="6"/>
  <c r="W67" i="6"/>
  <c r="AB67" i="6" s="1"/>
  <c r="AC67" i="6" s="1"/>
  <c r="AD67" i="6" s="1"/>
  <c r="AE67" i="6" s="1"/>
  <c r="W109" i="6"/>
  <c r="AB109" i="6" s="1"/>
  <c r="AC109" i="6" s="1"/>
  <c r="AD109" i="6" s="1"/>
  <c r="AE109" i="6" s="1"/>
  <c r="W92" i="6"/>
  <c r="AB92" i="6" s="1"/>
  <c r="AC92" i="6" s="1"/>
  <c r="AD92" i="6" s="1"/>
  <c r="AE92" i="6" s="1"/>
  <c r="W120" i="6"/>
  <c r="AB120" i="6" s="1"/>
  <c r="AC120" i="6" s="1"/>
  <c r="AD120" i="6" s="1"/>
  <c r="AE120" i="6" s="1"/>
  <c r="W65" i="6"/>
  <c r="AB65" i="6" s="1"/>
  <c r="AC65" i="6" s="1"/>
  <c r="AD65" i="6" s="1"/>
  <c r="AE65" i="6" s="1"/>
  <c r="W77" i="6"/>
  <c r="AB77" i="6" s="1"/>
  <c r="AC77" i="6" s="1"/>
  <c r="AD77" i="6" s="1"/>
  <c r="AE77" i="6" s="1"/>
  <c r="W80" i="6"/>
  <c r="AB80" i="6" s="1"/>
  <c r="AC80" i="6" s="1"/>
  <c r="AD80" i="6" s="1"/>
  <c r="AE80" i="6" s="1"/>
  <c r="W102" i="6"/>
  <c r="AB102" i="6" s="1"/>
  <c r="AC102" i="6" s="1"/>
  <c r="AD102" i="6" s="1"/>
  <c r="AE102" i="6" s="1"/>
  <c r="W122" i="6"/>
  <c r="AB122" i="6" s="1"/>
  <c r="AC122" i="6" s="1"/>
  <c r="AD122" i="6" s="1"/>
  <c r="AE122" i="6" s="1"/>
  <c r="W75" i="6"/>
  <c r="AB75" i="6" s="1"/>
  <c r="AC75" i="6" s="1"/>
  <c r="AD75" i="6" s="1"/>
  <c r="AE75" i="6" s="1"/>
  <c r="W107" i="6"/>
  <c r="AB107" i="6" s="1"/>
  <c r="AC107" i="6" s="1"/>
  <c r="AD107" i="6" s="1"/>
  <c r="AE107" i="6" s="1"/>
  <c r="W90" i="6"/>
  <c r="AB90" i="6" s="1"/>
  <c r="AC90" i="6" s="1"/>
  <c r="AD90" i="6" s="1"/>
  <c r="AE90" i="6" s="1"/>
  <c r="W112" i="6"/>
  <c r="AB112" i="6" s="1"/>
  <c r="AC112" i="6" s="1"/>
  <c r="AD112" i="6" s="1"/>
  <c r="AE112" i="6" s="1"/>
  <c r="W118" i="6"/>
  <c r="AB118" i="6" s="1"/>
  <c r="AC118" i="6" s="1"/>
  <c r="AD118" i="6" s="1"/>
  <c r="AE118" i="6" s="1"/>
  <c r="W85" i="6"/>
  <c r="AB85" i="6" s="1"/>
  <c r="AC85" i="6" s="1"/>
  <c r="AD85" i="6" s="1"/>
  <c r="AE85" i="6" s="1"/>
  <c r="W117" i="6"/>
  <c r="AB117" i="6" s="1"/>
  <c r="AC117" i="6" s="1"/>
  <c r="AD117" i="6" s="1"/>
  <c r="AE117" i="6" s="1"/>
  <c r="W100" i="6"/>
  <c r="AB100" i="6" s="1"/>
  <c r="AC100" i="6" s="1"/>
  <c r="AD100" i="6" s="1"/>
  <c r="AE100" i="6" s="1"/>
  <c r="W83" i="6"/>
  <c r="AB83" i="6" s="1"/>
  <c r="AC83" i="6" s="1"/>
  <c r="AD83" i="6" s="1"/>
  <c r="AE83" i="6" s="1"/>
  <c r="W94" i="6"/>
  <c r="AB94" i="6" s="1"/>
  <c r="AC94" i="6" s="1"/>
  <c r="AD94" i="6" s="1"/>
  <c r="AE94" i="6" s="1"/>
  <c r="X65" i="6"/>
  <c r="X63" i="6"/>
  <c r="X64" i="6"/>
  <c r="X62" i="6"/>
  <c r="W105" i="6"/>
  <c r="AB105" i="6" s="1"/>
  <c r="AC105" i="6" s="1"/>
  <c r="AD105" i="6" s="1"/>
  <c r="AE105" i="6" s="1"/>
  <c r="W87" i="6"/>
  <c r="AB87" i="6" s="1"/>
  <c r="AC87" i="6" s="1"/>
  <c r="AD87" i="6" s="1"/>
  <c r="AE87" i="6" s="1"/>
  <c r="W79" i="6"/>
  <c r="AB79" i="6" s="1"/>
  <c r="AC79" i="6" s="1"/>
  <c r="AD79" i="6" s="1"/>
  <c r="AE79" i="6" s="1"/>
  <c r="W81" i="6"/>
  <c r="AB81" i="6" s="1"/>
  <c r="AC81" i="6" s="1"/>
  <c r="AD81" i="6" s="1"/>
  <c r="AE81" i="6" s="1"/>
  <c r="W63" i="6"/>
  <c r="AB63" i="6" s="1"/>
  <c r="AC63" i="6" s="1"/>
  <c r="AD63" i="6" s="1"/>
  <c r="AE63" i="6" s="1"/>
  <c r="W104" i="6"/>
  <c r="AB104" i="6" s="1"/>
  <c r="AC104" i="6" s="1"/>
  <c r="AD104" i="6" s="1"/>
  <c r="AE104" i="6" s="1"/>
  <c r="W115" i="6"/>
  <c r="AB115" i="6" s="1"/>
  <c r="AC115" i="6" s="1"/>
  <c r="AD115" i="6" s="1"/>
  <c r="AE115" i="6" s="1"/>
  <c r="W97" i="6"/>
  <c r="AB97" i="6" s="1"/>
  <c r="AC97" i="6" s="1"/>
  <c r="AD97" i="6" s="1"/>
  <c r="AE97" i="6" s="1"/>
  <c r="W89" i="6"/>
  <c r="AB89" i="6" s="1"/>
  <c r="AC89" i="6" s="1"/>
  <c r="AD89" i="6" s="1"/>
  <c r="AE89" i="6" s="1"/>
  <c r="W91" i="6"/>
  <c r="AB91" i="6" s="1"/>
  <c r="AC91" i="6" s="1"/>
  <c r="AD91" i="6" s="1"/>
  <c r="AE91" i="6" s="1"/>
  <c r="W73" i="6"/>
  <c r="AB73" i="6" s="1"/>
  <c r="AC73" i="6" s="1"/>
  <c r="AD73" i="6" s="1"/>
  <c r="AE73" i="6" s="1"/>
  <c r="W114" i="6"/>
  <c r="AB114" i="6" s="1"/>
  <c r="AC114" i="6" s="1"/>
  <c r="AD114" i="6" s="1"/>
  <c r="AE114" i="6" s="1"/>
  <c r="Y65" i="6"/>
  <c r="Y62" i="6"/>
  <c r="W86" i="6"/>
  <c r="AB86" i="6" s="1"/>
  <c r="AC86" i="6" s="1"/>
  <c r="AD86" i="6" s="1"/>
  <c r="AE86" i="6" s="1"/>
  <c r="W68" i="6"/>
  <c r="AB68" i="6" s="1"/>
  <c r="AC68" i="6" s="1"/>
  <c r="AD68" i="6" s="1"/>
  <c r="AE68" i="6" s="1"/>
  <c r="W70" i="6"/>
  <c r="AB70" i="6" s="1"/>
  <c r="AC70" i="6" s="1"/>
  <c r="AD70" i="6" s="1"/>
  <c r="AE70" i="6" s="1"/>
  <c r="W62" i="6"/>
  <c r="AB62" i="6" s="1"/>
  <c r="AC62" i="6" s="1"/>
  <c r="AD62" i="6" s="1"/>
  <c r="AE62" i="6" s="1"/>
  <c r="W103" i="6"/>
  <c r="AB103" i="6" s="1"/>
  <c r="AC103" i="6" s="1"/>
  <c r="AD103" i="6" s="1"/>
  <c r="AE103" i="6" s="1"/>
  <c r="Y63" i="6"/>
  <c r="Y64" i="6"/>
  <c r="D40" i="6"/>
  <c r="Y66" i="6" l="1"/>
  <c r="Z66" i="6" s="1"/>
  <c r="AA66" i="6" s="1"/>
  <c r="E66" i="6" s="1"/>
  <c r="F66" i="6" s="1"/>
  <c r="AM66" i="6" s="1"/>
  <c r="AO63" i="10"/>
  <c r="AR63" i="10" s="1"/>
  <c r="AO66" i="10"/>
  <c r="AO65" i="10"/>
  <c r="AO64" i="10"/>
  <c r="AR64" i="10" s="1"/>
  <c r="AO62" i="10"/>
  <c r="AR62" i="10" s="1"/>
  <c r="A69" i="10"/>
  <c r="BF66" i="6"/>
  <c r="BG66" i="6" s="1"/>
  <c r="T66" i="6" s="1"/>
  <c r="BB67" i="6"/>
  <c r="AY67" i="6"/>
  <c r="AT67" i="6"/>
  <c r="A68" i="6"/>
  <c r="AL67" i="6"/>
  <c r="BE67" i="6"/>
  <c r="B67" i="6"/>
  <c r="D67" i="6" s="1"/>
  <c r="E64" i="10"/>
  <c r="F64" i="10" s="1"/>
  <c r="AM64" i="10" s="1"/>
  <c r="E63" i="10"/>
  <c r="F63" i="10" s="1"/>
  <c r="AM63" i="10" s="1"/>
  <c r="E66" i="10"/>
  <c r="F66" i="10" s="1"/>
  <c r="AM66" i="10" s="1"/>
  <c r="E62" i="10"/>
  <c r="F62" i="10" s="1"/>
  <c r="AM62" i="10" s="1"/>
  <c r="E65" i="10"/>
  <c r="F65" i="10" s="1"/>
  <c r="AM65" i="10" s="1"/>
  <c r="B68" i="10"/>
  <c r="D68" i="10" s="1"/>
  <c r="Y68" i="10" s="1"/>
  <c r="BG68" i="10"/>
  <c r="T68" i="10" s="1"/>
  <c r="X67" i="10"/>
  <c r="Z67" i="10" s="1"/>
  <c r="AA67" i="10" s="1"/>
  <c r="Z64" i="6"/>
  <c r="AA64" i="6" s="1"/>
  <c r="AO64" i="6" s="1"/>
  <c r="AR64" i="6" s="1"/>
  <c r="Z63" i="6"/>
  <c r="AA63" i="6" s="1"/>
  <c r="AO63" i="6" s="1"/>
  <c r="AR63" i="6" s="1"/>
  <c r="Z65" i="6"/>
  <c r="AA65" i="6" s="1"/>
  <c r="AO65" i="6" s="1"/>
  <c r="AR65" i="6" s="1"/>
  <c r="Z62" i="6"/>
  <c r="AA62" i="6" s="1"/>
  <c r="AO62" i="6" s="1"/>
  <c r="AR62" i="6" s="1"/>
  <c r="AO67" i="10" l="1"/>
  <c r="AO66" i="6"/>
  <c r="AR66" i="6" s="1"/>
  <c r="AN66" i="6"/>
  <c r="AQ66" i="6"/>
  <c r="AF65" i="10"/>
  <c r="AG65" i="10" s="1"/>
  <c r="M65" i="10" s="1"/>
  <c r="AQ65" i="10"/>
  <c r="AR65" i="10" s="1"/>
  <c r="AN65" i="10"/>
  <c r="AF63" i="10"/>
  <c r="AG63" i="10" s="1"/>
  <c r="M63" i="10" s="1"/>
  <c r="AQ63" i="10"/>
  <c r="AN63" i="10"/>
  <c r="AF62" i="10"/>
  <c r="AG62" i="10" s="1"/>
  <c r="M62" i="10" s="1"/>
  <c r="AQ62" i="10"/>
  <c r="AN62" i="10"/>
  <c r="AF66" i="10"/>
  <c r="AG66" i="10" s="1"/>
  <c r="M66" i="10" s="1"/>
  <c r="AQ66" i="10"/>
  <c r="AR66" i="10" s="1"/>
  <c r="AN66" i="10"/>
  <c r="AF64" i="10"/>
  <c r="AG64" i="10" s="1"/>
  <c r="M64" i="10" s="1"/>
  <c r="AQ64" i="10"/>
  <c r="AN64" i="10"/>
  <c r="A70" i="10"/>
  <c r="E63" i="6"/>
  <c r="F63" i="6" s="1"/>
  <c r="AM63" i="6" s="1"/>
  <c r="E64" i="6"/>
  <c r="F64" i="6" s="1"/>
  <c r="AM64" i="6" s="1"/>
  <c r="E65" i="6"/>
  <c r="F65" i="6" s="1"/>
  <c r="AM65" i="6" s="1"/>
  <c r="AY68" i="6"/>
  <c r="AT68" i="6"/>
  <c r="BB68" i="6"/>
  <c r="BF67" i="6"/>
  <c r="BG67" i="6" s="1"/>
  <c r="T67" i="6" s="1"/>
  <c r="X67" i="6"/>
  <c r="Y67" i="6"/>
  <c r="A69" i="6"/>
  <c r="AL68" i="6"/>
  <c r="B68" i="6"/>
  <c r="D68" i="6" s="1"/>
  <c r="BE68" i="6"/>
  <c r="G66" i="6"/>
  <c r="H66" i="6" s="1"/>
  <c r="I66" i="6" s="1"/>
  <c r="J66" i="6" s="1"/>
  <c r="K66" i="6" s="1"/>
  <c r="AF66" i="6"/>
  <c r="AG66" i="6" s="1"/>
  <c r="M66" i="6" s="1"/>
  <c r="G65" i="6"/>
  <c r="H65" i="6" s="1"/>
  <c r="I65" i="6" s="1"/>
  <c r="J65" i="6" s="1"/>
  <c r="L65" i="6" s="1"/>
  <c r="AV65" i="10"/>
  <c r="AZ65" i="10" s="1"/>
  <c r="G65" i="10"/>
  <c r="AI65" i="10"/>
  <c r="AJ65" i="10" s="1"/>
  <c r="AK65" i="10" s="1"/>
  <c r="AI62" i="10"/>
  <c r="AJ62" i="10" s="1"/>
  <c r="AK62" i="10" s="1"/>
  <c r="G62" i="10"/>
  <c r="AV62" i="10"/>
  <c r="AZ62" i="10" s="1"/>
  <c r="E67" i="10"/>
  <c r="F67" i="10" s="1"/>
  <c r="AM67" i="10" s="1"/>
  <c r="AV66" i="10"/>
  <c r="AZ66" i="10" s="1"/>
  <c r="G66" i="10"/>
  <c r="AI66" i="10"/>
  <c r="AJ66" i="10" s="1"/>
  <c r="AK66" i="10" s="1"/>
  <c r="AI63" i="10"/>
  <c r="AJ63" i="10" s="1"/>
  <c r="AK63" i="10" s="1"/>
  <c r="AV63" i="10"/>
  <c r="AZ63" i="10" s="1"/>
  <c r="G63" i="10"/>
  <c r="B69" i="10"/>
  <c r="D69" i="10" s="1"/>
  <c r="Y69" i="10" s="1"/>
  <c r="BG69" i="10"/>
  <c r="T69" i="10" s="1"/>
  <c r="AI64" i="10"/>
  <c r="AJ64" i="10" s="1"/>
  <c r="AK64" i="10" s="1"/>
  <c r="G64" i="10"/>
  <c r="AV64" i="10"/>
  <c r="AZ64" i="10" s="1"/>
  <c r="X68" i="10"/>
  <c r="Z68" i="10" s="1"/>
  <c r="AA68" i="10" s="1"/>
  <c r="E62" i="6"/>
  <c r="F62" i="6" s="1"/>
  <c r="AM62" i="6" s="1"/>
  <c r="AV66" i="6"/>
  <c r="N65" i="10" l="1"/>
  <c r="N64" i="10"/>
  <c r="AF64" i="6"/>
  <c r="AG64" i="6" s="1"/>
  <c r="M64" i="6" s="1"/>
  <c r="AO68" i="10"/>
  <c r="AQ62" i="6"/>
  <c r="AV64" i="6"/>
  <c r="AN64" i="6"/>
  <c r="N62" i="10"/>
  <c r="AN63" i="6"/>
  <c r="AQ63" i="6"/>
  <c r="AF63" i="6"/>
  <c r="AG63" i="6" s="1"/>
  <c r="M63" i="6" s="1"/>
  <c r="AN65" i="6"/>
  <c r="AQ65" i="6"/>
  <c r="AQ64" i="6"/>
  <c r="N63" i="10"/>
  <c r="N66" i="10"/>
  <c r="AF67" i="10"/>
  <c r="AG67" i="10" s="1"/>
  <c r="M67" i="10" s="1"/>
  <c r="AQ67" i="10"/>
  <c r="AR67" i="10" s="1"/>
  <c r="AN67" i="10"/>
  <c r="A71" i="10"/>
  <c r="G64" i="6"/>
  <c r="H64" i="6" s="1"/>
  <c r="I64" i="6" s="1"/>
  <c r="J64" i="6" s="1"/>
  <c r="L64" i="6" s="1"/>
  <c r="G63" i="6"/>
  <c r="H63" i="6" s="1"/>
  <c r="I63" i="6" s="1"/>
  <c r="J63" i="6" s="1"/>
  <c r="L63" i="6" s="1"/>
  <c r="AF65" i="6"/>
  <c r="AG65" i="6" s="1"/>
  <c r="M65" i="6" s="1"/>
  <c r="BF68" i="6"/>
  <c r="BG68" i="6" s="1"/>
  <c r="T68" i="6" s="1"/>
  <c r="AT69" i="6"/>
  <c r="BB69" i="6"/>
  <c r="AY69" i="6"/>
  <c r="Z67" i="6"/>
  <c r="AA67" i="6" s="1"/>
  <c r="AO67" i="6" s="1"/>
  <c r="AR67" i="6" s="1"/>
  <c r="X68" i="6"/>
  <c r="Y68" i="6"/>
  <c r="AF62" i="6"/>
  <c r="AG62" i="6" s="1"/>
  <c r="M62" i="6" s="1"/>
  <c r="AN62" i="6"/>
  <c r="A70" i="6"/>
  <c r="AL69" i="6"/>
  <c r="B69" i="6"/>
  <c r="D69" i="6" s="1"/>
  <c r="BE69" i="6"/>
  <c r="K65" i="6"/>
  <c r="L66" i="6"/>
  <c r="B70" i="10"/>
  <c r="D70" i="10" s="1"/>
  <c r="Y70" i="10" s="1"/>
  <c r="BG70" i="10"/>
  <c r="T70" i="10" s="1"/>
  <c r="X69" i="10"/>
  <c r="Z69" i="10" s="1"/>
  <c r="AA69" i="10" s="1"/>
  <c r="BC62" i="10"/>
  <c r="AW62" i="10"/>
  <c r="E68" i="10"/>
  <c r="F68" i="10" s="1"/>
  <c r="AM68" i="10" s="1"/>
  <c r="H66" i="10"/>
  <c r="I66" i="10" s="1"/>
  <c r="J66" i="10" s="1"/>
  <c r="BC66" i="10"/>
  <c r="AW66" i="10"/>
  <c r="H62" i="10"/>
  <c r="I62" i="10" s="1"/>
  <c r="J62" i="10" s="1"/>
  <c r="H63" i="10"/>
  <c r="I63" i="10" s="1"/>
  <c r="J63" i="10" s="1"/>
  <c r="BC64" i="10"/>
  <c r="AW64" i="10"/>
  <c r="BC63" i="10"/>
  <c r="AW63" i="10"/>
  <c r="H65" i="10"/>
  <c r="I65" i="10" s="1"/>
  <c r="J65" i="10" s="1"/>
  <c r="G67" i="10"/>
  <c r="AV67" i="10"/>
  <c r="AZ67" i="10" s="1"/>
  <c r="AI67" i="10"/>
  <c r="AJ67" i="10" s="1"/>
  <c r="AK67" i="10" s="1"/>
  <c r="H64" i="10"/>
  <c r="I64" i="10" s="1"/>
  <c r="J64" i="10" s="1"/>
  <c r="BC65" i="10"/>
  <c r="AW65" i="10"/>
  <c r="BC66" i="6"/>
  <c r="AW66" i="6"/>
  <c r="AI63" i="6"/>
  <c r="AJ63" i="6" s="1"/>
  <c r="AK63" i="6" s="1"/>
  <c r="AV63" i="6"/>
  <c r="AI65" i="6"/>
  <c r="AJ65" i="6" s="1"/>
  <c r="AK65" i="6" s="1"/>
  <c r="AV65" i="6"/>
  <c r="AW64" i="6"/>
  <c r="BC64" i="6"/>
  <c r="AI64" i="6"/>
  <c r="AJ64" i="6" s="1"/>
  <c r="AK64" i="6" s="1"/>
  <c r="AI66" i="6"/>
  <c r="AJ66" i="6" s="1"/>
  <c r="AK66" i="6" s="1"/>
  <c r="N66" i="6" s="1"/>
  <c r="AO69" i="10" l="1"/>
  <c r="N65" i="6"/>
  <c r="N63" i="6"/>
  <c r="N64" i="6"/>
  <c r="K64" i="6"/>
  <c r="N67" i="10"/>
  <c r="A72" i="10"/>
  <c r="AF68" i="10"/>
  <c r="AG68" i="10" s="1"/>
  <c r="M68" i="10" s="1"/>
  <c r="AQ68" i="10"/>
  <c r="AR68" i="10" s="1"/>
  <c r="AN68" i="10"/>
  <c r="K63" i="6"/>
  <c r="E67" i="6"/>
  <c r="F67" i="6" s="1"/>
  <c r="AM67" i="6" s="1"/>
  <c r="BF69" i="6"/>
  <c r="BG69" i="6" s="1"/>
  <c r="T69" i="6" s="1"/>
  <c r="AY70" i="6"/>
  <c r="AT70" i="6"/>
  <c r="BB70" i="6"/>
  <c r="BF70" i="6" s="1"/>
  <c r="X69" i="6"/>
  <c r="Y69" i="6"/>
  <c r="Z68" i="6"/>
  <c r="AA68" i="6" s="1"/>
  <c r="AO68" i="6" s="1"/>
  <c r="AR68" i="6" s="1"/>
  <c r="A71" i="6"/>
  <c r="AL70" i="6"/>
  <c r="BE70" i="6"/>
  <c r="B70" i="6"/>
  <c r="D70" i="6" s="1"/>
  <c r="BD63" i="10"/>
  <c r="O63" i="10" s="1"/>
  <c r="P63" i="10" s="1"/>
  <c r="L65" i="10"/>
  <c r="K65" i="10"/>
  <c r="K63" i="10"/>
  <c r="L63" i="10"/>
  <c r="L64" i="10"/>
  <c r="K64" i="10"/>
  <c r="L62" i="10"/>
  <c r="K62" i="10"/>
  <c r="G68" i="10"/>
  <c r="AV68" i="10"/>
  <c r="AZ68" i="10" s="1"/>
  <c r="AI68" i="10"/>
  <c r="AJ68" i="10" s="1"/>
  <c r="AK68" i="10" s="1"/>
  <c r="BD62" i="10"/>
  <c r="O62" i="10" s="1"/>
  <c r="P62" i="10" s="1"/>
  <c r="BC67" i="10"/>
  <c r="AW67" i="10"/>
  <c r="BD65" i="10"/>
  <c r="O65" i="10" s="1"/>
  <c r="P65" i="10" s="1"/>
  <c r="BD64" i="10"/>
  <c r="O64" i="10" s="1"/>
  <c r="P64" i="10" s="1"/>
  <c r="H67" i="10"/>
  <c r="I67" i="10" s="1"/>
  <c r="J67" i="10" s="1"/>
  <c r="BD66" i="10"/>
  <c r="O66" i="10" s="1"/>
  <c r="P66" i="10" s="1"/>
  <c r="B71" i="10"/>
  <c r="D71" i="10" s="1"/>
  <c r="Y71" i="10" s="1"/>
  <c r="BG71" i="10"/>
  <c r="T71" i="10" s="1"/>
  <c r="L66" i="10"/>
  <c r="K66" i="10"/>
  <c r="E69" i="10"/>
  <c r="F69" i="10" s="1"/>
  <c r="AM69" i="10" s="1"/>
  <c r="X70" i="10"/>
  <c r="Z70" i="10" s="1"/>
  <c r="AA70" i="10" s="1"/>
  <c r="BD66" i="6"/>
  <c r="O66" i="6" s="1"/>
  <c r="P66" i="6" s="1"/>
  <c r="BD64" i="6"/>
  <c r="O64" i="6" s="1"/>
  <c r="P64" i="6" s="1"/>
  <c r="BC63" i="6"/>
  <c r="AW63" i="6"/>
  <c r="BC65" i="6"/>
  <c r="AW65" i="6"/>
  <c r="AO70" i="10" l="1"/>
  <c r="N68" i="10"/>
  <c r="AV67" i="6"/>
  <c r="BC67" i="6" s="1"/>
  <c r="AQ67" i="6"/>
  <c r="AF69" i="10"/>
  <c r="AG69" i="10" s="1"/>
  <c r="M69" i="10" s="1"/>
  <c r="AQ69" i="10"/>
  <c r="AR69" i="10" s="1"/>
  <c r="AN69" i="10"/>
  <c r="A73" i="10"/>
  <c r="AF67" i="6"/>
  <c r="AG67" i="6" s="1"/>
  <c r="M67" i="6" s="1"/>
  <c r="AI67" i="6"/>
  <c r="AJ67" i="6" s="1"/>
  <c r="AK67" i="6" s="1"/>
  <c r="E68" i="6"/>
  <c r="F68" i="6" s="1"/>
  <c r="AN67" i="6"/>
  <c r="G67" i="6"/>
  <c r="H67" i="6" s="1"/>
  <c r="I67" i="6" s="1"/>
  <c r="J67" i="6" s="1"/>
  <c r="BG70" i="6"/>
  <c r="T70" i="6" s="1"/>
  <c r="AY71" i="6"/>
  <c r="AT71" i="6"/>
  <c r="BB71" i="6"/>
  <c r="Z69" i="6"/>
  <c r="AA69" i="6" s="1"/>
  <c r="AO69" i="6" s="1"/>
  <c r="AR69" i="6" s="1"/>
  <c r="X70" i="6"/>
  <c r="Y70" i="6"/>
  <c r="A72" i="6"/>
  <c r="AL71" i="6"/>
  <c r="B71" i="6"/>
  <c r="D71" i="6" s="1"/>
  <c r="BE71" i="6"/>
  <c r="U62" i="10"/>
  <c r="Q62" i="10"/>
  <c r="S62" i="10" s="1"/>
  <c r="L67" i="10"/>
  <c r="K67" i="10"/>
  <c r="U64" i="10"/>
  <c r="R64" i="10"/>
  <c r="Q64" i="10"/>
  <c r="S64" i="10" s="1"/>
  <c r="R65" i="10"/>
  <c r="U65" i="10"/>
  <c r="Q65" i="10"/>
  <c r="S65" i="10" s="1"/>
  <c r="BD67" i="10"/>
  <c r="O67" i="10" s="1"/>
  <c r="P67" i="10" s="1"/>
  <c r="B72" i="10"/>
  <c r="D72" i="10" s="1"/>
  <c r="Y72" i="10" s="1"/>
  <c r="BG72" i="10"/>
  <c r="T72" i="10" s="1"/>
  <c r="Q63" i="10"/>
  <c r="S63" i="10" s="1"/>
  <c r="U63" i="10"/>
  <c r="R63" i="10"/>
  <c r="R66" i="10"/>
  <c r="U66" i="10"/>
  <c r="Q66" i="10"/>
  <c r="S66" i="10" s="1"/>
  <c r="H68" i="10"/>
  <c r="I68" i="10" s="1"/>
  <c r="J68" i="10" s="1"/>
  <c r="AI69" i="10"/>
  <c r="AJ69" i="10" s="1"/>
  <c r="AK69" i="10" s="1"/>
  <c r="G69" i="10"/>
  <c r="AV69" i="10"/>
  <c r="AZ69" i="10" s="1"/>
  <c r="X71" i="10"/>
  <c r="Z71" i="10" s="1"/>
  <c r="AA71" i="10" s="1"/>
  <c r="BC68" i="10"/>
  <c r="AW68" i="10"/>
  <c r="E70" i="10"/>
  <c r="F70" i="10" s="1"/>
  <c r="AM70" i="10" s="1"/>
  <c r="BD65" i="6"/>
  <c r="O65" i="6" s="1"/>
  <c r="P65" i="6" s="1"/>
  <c r="BD63" i="6"/>
  <c r="O63" i="6" s="1"/>
  <c r="P63" i="6" s="1"/>
  <c r="AI68" i="6" l="1"/>
  <c r="AJ68" i="6" s="1"/>
  <c r="AK68" i="6" s="1"/>
  <c r="AM68" i="6"/>
  <c r="AO71" i="10"/>
  <c r="G68" i="6"/>
  <c r="H68" i="6" s="1"/>
  <c r="I68" i="6" s="1"/>
  <c r="J68" i="6" s="1"/>
  <c r="AF68" i="6"/>
  <c r="AG68" i="6" s="1"/>
  <c r="M68" i="6" s="1"/>
  <c r="N67" i="6"/>
  <c r="AV68" i="6"/>
  <c r="AW68" i="6" s="1"/>
  <c r="AQ68" i="6"/>
  <c r="AN68" i="6"/>
  <c r="N68" i="6" s="1"/>
  <c r="AW67" i="6"/>
  <c r="BD67" i="6" s="1"/>
  <c r="O67" i="6" s="1"/>
  <c r="P67" i="6" s="1"/>
  <c r="U67" i="6" s="1"/>
  <c r="N69" i="10"/>
  <c r="AF70" i="10"/>
  <c r="AG70" i="10" s="1"/>
  <c r="M70" i="10" s="1"/>
  <c r="AQ70" i="10"/>
  <c r="AR70" i="10" s="1"/>
  <c r="AN70" i="10"/>
  <c r="A74" i="10"/>
  <c r="L67" i="6"/>
  <c r="K67" i="6"/>
  <c r="E69" i="6"/>
  <c r="F69" i="6" s="1"/>
  <c r="AM69" i="6" s="1"/>
  <c r="BF71" i="6"/>
  <c r="BG71" i="6" s="1"/>
  <c r="T71" i="6" s="1"/>
  <c r="BB72" i="6"/>
  <c r="AY72" i="6"/>
  <c r="AT72" i="6"/>
  <c r="X71" i="6"/>
  <c r="Y71" i="6"/>
  <c r="L68" i="6"/>
  <c r="K68" i="6"/>
  <c r="Z70" i="6"/>
  <c r="AA70" i="6" s="1"/>
  <c r="AO70" i="6" s="1"/>
  <c r="AR70" i="6" s="1"/>
  <c r="A73" i="6"/>
  <c r="AL72" i="6"/>
  <c r="B72" i="6"/>
  <c r="D72" i="6" s="1"/>
  <c r="BE72" i="6"/>
  <c r="V65" i="10"/>
  <c r="V66" i="10"/>
  <c r="V63" i="10"/>
  <c r="V64" i="10"/>
  <c r="L68" i="10"/>
  <c r="K68" i="10"/>
  <c r="BC69" i="10"/>
  <c r="AW69" i="10"/>
  <c r="E71" i="10"/>
  <c r="F71" i="10" s="1"/>
  <c r="AM71" i="10" s="1"/>
  <c r="BG73" i="10"/>
  <c r="T73" i="10" s="1"/>
  <c r="B73" i="10"/>
  <c r="D73" i="10" s="1"/>
  <c r="Y73" i="10" s="1"/>
  <c r="R67" i="10"/>
  <c r="U67" i="10"/>
  <c r="V67" i="10" s="1"/>
  <c r="Q67" i="10"/>
  <c r="S67" i="10" s="1"/>
  <c r="X72" i="10"/>
  <c r="Z72" i="10" s="1"/>
  <c r="AA72" i="10" s="1"/>
  <c r="BD68" i="10"/>
  <c r="O68" i="10" s="1"/>
  <c r="P68" i="10" s="1"/>
  <c r="H69" i="10"/>
  <c r="I69" i="10" s="1"/>
  <c r="J69" i="10" s="1"/>
  <c r="AI70" i="10"/>
  <c r="AJ70" i="10" s="1"/>
  <c r="AK70" i="10" s="1"/>
  <c r="AV70" i="10"/>
  <c r="AZ70" i="10" s="1"/>
  <c r="G70" i="10"/>
  <c r="R65" i="6"/>
  <c r="R64" i="6"/>
  <c r="U66" i="6"/>
  <c r="R66" i="6"/>
  <c r="Q66" i="6"/>
  <c r="S66" i="6" s="1"/>
  <c r="U64" i="6"/>
  <c r="Q64" i="6"/>
  <c r="S64" i="6" s="1"/>
  <c r="Q63" i="6"/>
  <c r="S63" i="6" s="1"/>
  <c r="U63" i="6"/>
  <c r="U65" i="6"/>
  <c r="Q65" i="6"/>
  <c r="S65" i="6" s="1"/>
  <c r="AO72" i="10" l="1"/>
  <c r="BC68" i="6"/>
  <c r="BD68" i="6" s="1"/>
  <c r="O68" i="6" s="1"/>
  <c r="P68" i="6" s="1"/>
  <c r="AF69" i="6"/>
  <c r="AG69" i="6" s="1"/>
  <c r="M69" i="6" s="1"/>
  <c r="AN69" i="6"/>
  <c r="AQ69" i="6"/>
  <c r="N70" i="10"/>
  <c r="AF71" i="10"/>
  <c r="AG71" i="10" s="1"/>
  <c r="M71" i="10" s="1"/>
  <c r="AQ71" i="10"/>
  <c r="AR71" i="10" s="1"/>
  <c r="AN71" i="10"/>
  <c r="A75" i="10"/>
  <c r="Q67" i="6"/>
  <c r="S67" i="6" s="1"/>
  <c r="R67" i="6"/>
  <c r="G69" i="6"/>
  <c r="H69" i="6" s="1"/>
  <c r="I69" i="6" s="1"/>
  <c r="J69" i="6" s="1"/>
  <c r="L69" i="6" s="1"/>
  <c r="E70" i="6"/>
  <c r="F70" i="6" s="1"/>
  <c r="AM70" i="6" s="1"/>
  <c r="AV69" i="6"/>
  <c r="AW69" i="6" s="1"/>
  <c r="AI69" i="6"/>
  <c r="AJ69" i="6" s="1"/>
  <c r="AK69" i="6" s="1"/>
  <c r="N69" i="6" s="1"/>
  <c r="BC69" i="6"/>
  <c r="BD69" i="6" s="1"/>
  <c r="O69" i="6" s="1"/>
  <c r="AY73" i="6"/>
  <c r="AT73" i="6"/>
  <c r="BB73" i="6"/>
  <c r="BF72" i="6"/>
  <c r="BG72" i="6" s="1"/>
  <c r="T72" i="6" s="1"/>
  <c r="X72" i="6"/>
  <c r="Y72" i="6"/>
  <c r="G70" i="6"/>
  <c r="H70" i="6" s="1"/>
  <c r="I70" i="6" s="1"/>
  <c r="J70" i="6" s="1"/>
  <c r="Z71" i="6"/>
  <c r="AA71" i="6" s="1"/>
  <c r="AO71" i="6" s="1"/>
  <c r="AR71" i="6" s="1"/>
  <c r="A74" i="6"/>
  <c r="AL73" i="6"/>
  <c r="B73" i="6"/>
  <c r="D73" i="6" s="1"/>
  <c r="BE73" i="6"/>
  <c r="V67" i="6"/>
  <c r="V64" i="6"/>
  <c r="V65" i="6"/>
  <c r="V66" i="6"/>
  <c r="R68" i="10"/>
  <c r="U68" i="10"/>
  <c r="V68" i="10" s="1"/>
  <c r="Q68" i="10"/>
  <c r="S68" i="10" s="1"/>
  <c r="BC70" i="10"/>
  <c r="AW70" i="10"/>
  <c r="X73" i="10"/>
  <c r="Z73" i="10" s="1"/>
  <c r="AA73" i="10" s="1"/>
  <c r="L69" i="10"/>
  <c r="K69" i="10"/>
  <c r="BG74" i="10"/>
  <c r="T74" i="10" s="1"/>
  <c r="B74" i="10"/>
  <c r="D74" i="10" s="1"/>
  <c r="Y74" i="10" s="1"/>
  <c r="AI71" i="10"/>
  <c r="AJ71" i="10" s="1"/>
  <c r="AK71" i="10" s="1"/>
  <c r="G71" i="10"/>
  <c r="AV71" i="10"/>
  <c r="AZ71" i="10" s="1"/>
  <c r="E72" i="10"/>
  <c r="F72" i="10" s="1"/>
  <c r="AM72" i="10" s="1"/>
  <c r="BD69" i="10"/>
  <c r="O69" i="10" s="1"/>
  <c r="P69" i="10" s="1"/>
  <c r="H70" i="10"/>
  <c r="I70" i="10" s="1"/>
  <c r="J70" i="10" s="1"/>
  <c r="AV70" i="6" l="1"/>
  <c r="AO73" i="10"/>
  <c r="AN70" i="6"/>
  <c r="AF70" i="6"/>
  <c r="AG70" i="6" s="1"/>
  <c r="M70" i="6" s="1"/>
  <c r="AQ70" i="6"/>
  <c r="N71" i="10"/>
  <c r="AF72" i="10"/>
  <c r="AG72" i="10" s="1"/>
  <c r="M72" i="10" s="1"/>
  <c r="AQ72" i="10"/>
  <c r="AR72" i="10" s="1"/>
  <c r="AN72" i="10"/>
  <c r="A76" i="10"/>
  <c r="BF73" i="6"/>
  <c r="BG73" i="6" s="1"/>
  <c r="T73" i="6" s="1"/>
  <c r="P69" i="6"/>
  <c r="U69" i="6" s="1"/>
  <c r="K69" i="6"/>
  <c r="E71" i="6"/>
  <c r="F71" i="6" s="1"/>
  <c r="AM71" i="6" s="1"/>
  <c r="AI70" i="6"/>
  <c r="AJ70" i="6" s="1"/>
  <c r="AK70" i="6" s="1"/>
  <c r="AY74" i="6"/>
  <c r="BB74" i="6"/>
  <c r="AT74" i="6"/>
  <c r="U68" i="6"/>
  <c r="Q68" i="6"/>
  <c r="S68" i="6" s="1"/>
  <c r="R68" i="6"/>
  <c r="X73" i="6"/>
  <c r="Y73" i="6"/>
  <c r="L70" i="6"/>
  <c r="K70" i="6"/>
  <c r="BC70" i="6"/>
  <c r="AW70" i="6"/>
  <c r="Z72" i="6"/>
  <c r="AA72" i="6" s="1"/>
  <c r="AO72" i="6" s="1"/>
  <c r="AR72" i="6" s="1"/>
  <c r="A75" i="6"/>
  <c r="AL74" i="6"/>
  <c r="B74" i="6"/>
  <c r="D74" i="6" s="1"/>
  <c r="BE74" i="6"/>
  <c r="E73" i="10"/>
  <c r="F73" i="10" s="1"/>
  <c r="AM73" i="10" s="1"/>
  <c r="BD70" i="10"/>
  <c r="O70" i="10" s="1"/>
  <c r="P70" i="10" s="1"/>
  <c r="U69" i="10"/>
  <c r="V69" i="10" s="1"/>
  <c r="R69" i="10"/>
  <c r="Q69" i="10"/>
  <c r="S69" i="10" s="1"/>
  <c r="AI72" i="10"/>
  <c r="AJ72" i="10" s="1"/>
  <c r="AK72" i="10" s="1"/>
  <c r="AV72" i="10"/>
  <c r="AZ72" i="10" s="1"/>
  <c r="G72" i="10"/>
  <c r="H71" i="10"/>
  <c r="I71" i="10" s="1"/>
  <c r="J71" i="10" s="1"/>
  <c r="X74" i="10"/>
  <c r="Z74" i="10" s="1"/>
  <c r="AA74" i="10" s="1"/>
  <c r="L70" i="10"/>
  <c r="K70" i="10"/>
  <c r="BC71" i="10"/>
  <c r="AW71" i="10"/>
  <c r="BG75" i="10"/>
  <c r="T75" i="10" s="1"/>
  <c r="B75" i="10"/>
  <c r="D75" i="10" s="1"/>
  <c r="Y75" i="10" s="1"/>
  <c r="AO74" i="10" l="1"/>
  <c r="N70" i="6"/>
  <c r="AF71" i="6"/>
  <c r="AG71" i="6" s="1"/>
  <c r="M71" i="6" s="1"/>
  <c r="AQ71" i="6"/>
  <c r="N72" i="10"/>
  <c r="AF73" i="10"/>
  <c r="AG73" i="10" s="1"/>
  <c r="M73" i="10" s="1"/>
  <c r="AQ73" i="10"/>
  <c r="AR73" i="10" s="1"/>
  <c r="AN73" i="10"/>
  <c r="A77" i="10"/>
  <c r="R69" i="6"/>
  <c r="Q69" i="6"/>
  <c r="S69" i="6" s="1"/>
  <c r="AV71" i="6"/>
  <c r="BC71" i="6" s="1"/>
  <c r="G71" i="6"/>
  <c r="H71" i="6" s="1"/>
  <c r="I71" i="6" s="1"/>
  <c r="J71" i="6" s="1"/>
  <c r="L71" i="6" s="1"/>
  <c r="AN71" i="6"/>
  <c r="E72" i="6"/>
  <c r="F72" i="6" s="1"/>
  <c r="AM72" i="6" s="1"/>
  <c r="AI71" i="6"/>
  <c r="AJ71" i="6" s="1"/>
  <c r="AK71" i="6" s="1"/>
  <c r="N71" i="6" s="1"/>
  <c r="AY75" i="6"/>
  <c r="AT75" i="6"/>
  <c r="BB75" i="6"/>
  <c r="BF75" i="6" s="1"/>
  <c r="BF74" i="6"/>
  <c r="BG74" i="6" s="1"/>
  <c r="T74" i="6" s="1"/>
  <c r="Z73" i="6"/>
  <c r="AA73" i="6" s="1"/>
  <c r="AO73" i="6" s="1"/>
  <c r="AR73" i="6" s="1"/>
  <c r="X74" i="6"/>
  <c r="Y74" i="6"/>
  <c r="BD70" i="6"/>
  <c r="O70" i="6" s="1"/>
  <c r="V69" i="6"/>
  <c r="V68" i="6"/>
  <c r="A76" i="6"/>
  <c r="AL75" i="6"/>
  <c r="B75" i="6"/>
  <c r="D75" i="6" s="1"/>
  <c r="BE75" i="6"/>
  <c r="L71" i="10"/>
  <c r="K71" i="10"/>
  <c r="H72" i="10"/>
  <c r="I72" i="10" s="1"/>
  <c r="J72" i="10" s="1"/>
  <c r="X75" i="10"/>
  <c r="Z75" i="10" s="1"/>
  <c r="AA75" i="10" s="1"/>
  <c r="BC72" i="10"/>
  <c r="AW72" i="10"/>
  <c r="BD71" i="10"/>
  <c r="O71" i="10" s="1"/>
  <c r="P71" i="10" s="1"/>
  <c r="U70" i="10"/>
  <c r="V70" i="10" s="1"/>
  <c r="R70" i="10"/>
  <c r="Q70" i="10"/>
  <c r="S70" i="10" s="1"/>
  <c r="E74" i="10"/>
  <c r="F74" i="10" s="1"/>
  <c r="AM74" i="10" s="1"/>
  <c r="BG76" i="10"/>
  <c r="T76" i="10" s="1"/>
  <c r="B76" i="10"/>
  <c r="D76" i="10" s="1"/>
  <c r="Y76" i="10" s="1"/>
  <c r="AI73" i="10"/>
  <c r="AJ73" i="10" s="1"/>
  <c r="AK73" i="10" s="1"/>
  <c r="G73" i="10"/>
  <c r="AV73" i="10"/>
  <c r="AZ73" i="10" s="1"/>
  <c r="P70" i="6" l="1"/>
  <c r="Q70" i="6" s="1"/>
  <c r="S70" i="6" s="1"/>
  <c r="AO75" i="10"/>
  <c r="AW71" i="6"/>
  <c r="BD71" i="6" s="1"/>
  <c r="O71" i="6" s="1"/>
  <c r="P71" i="6" s="1"/>
  <c r="U71" i="6" s="1"/>
  <c r="G72" i="6"/>
  <c r="H72" i="6" s="1"/>
  <c r="I72" i="6" s="1"/>
  <c r="J72" i="6" s="1"/>
  <c r="K72" i="6" s="1"/>
  <c r="AQ72" i="6"/>
  <c r="AN72" i="6"/>
  <c r="AF72" i="6"/>
  <c r="AG72" i="6" s="1"/>
  <c r="M72" i="6" s="1"/>
  <c r="K71" i="6"/>
  <c r="N73" i="10"/>
  <c r="A78" i="10"/>
  <c r="AF74" i="10"/>
  <c r="AG74" i="10" s="1"/>
  <c r="M74" i="10" s="1"/>
  <c r="AQ74" i="10"/>
  <c r="AR74" i="10" s="1"/>
  <c r="AN74" i="10"/>
  <c r="AI72" i="6"/>
  <c r="AJ72" i="6" s="1"/>
  <c r="AK72" i="6" s="1"/>
  <c r="AV72" i="6"/>
  <c r="E73" i="6"/>
  <c r="F73" i="6" s="1"/>
  <c r="AM73" i="6" s="1"/>
  <c r="BG75" i="6"/>
  <c r="T75" i="6" s="1"/>
  <c r="AT76" i="6"/>
  <c r="BB76" i="6"/>
  <c r="AY76" i="6"/>
  <c r="R70" i="6"/>
  <c r="X75" i="6"/>
  <c r="Y75" i="6"/>
  <c r="Z74" i="6"/>
  <c r="AA74" i="6" s="1"/>
  <c r="AO74" i="6" s="1"/>
  <c r="AR74" i="6" s="1"/>
  <c r="BC72" i="6"/>
  <c r="AW72" i="6"/>
  <c r="L72" i="6"/>
  <c r="A77" i="6"/>
  <c r="AL76" i="6"/>
  <c r="B76" i="6"/>
  <c r="D76" i="6" s="1"/>
  <c r="BE76" i="6"/>
  <c r="U71" i="10"/>
  <c r="V71" i="10" s="1"/>
  <c r="Q71" i="10"/>
  <c r="S71" i="10" s="1"/>
  <c r="R71" i="10"/>
  <c r="L72" i="10"/>
  <c r="K72" i="10"/>
  <c r="BD72" i="10"/>
  <c r="O72" i="10" s="1"/>
  <c r="P72" i="10" s="1"/>
  <c r="E75" i="10"/>
  <c r="F75" i="10" s="1"/>
  <c r="AM75" i="10" s="1"/>
  <c r="AI74" i="10"/>
  <c r="AJ74" i="10" s="1"/>
  <c r="AK74" i="10" s="1"/>
  <c r="G74" i="10"/>
  <c r="AV74" i="10"/>
  <c r="AZ74" i="10" s="1"/>
  <c r="H73" i="10"/>
  <c r="I73" i="10" s="1"/>
  <c r="J73" i="10" s="1"/>
  <c r="X76" i="10"/>
  <c r="Z76" i="10" s="1"/>
  <c r="AA76" i="10" s="1"/>
  <c r="BG77" i="10"/>
  <c r="T77" i="10" s="1"/>
  <c r="B77" i="10"/>
  <c r="D77" i="10" s="1"/>
  <c r="Y77" i="10" s="1"/>
  <c r="BC73" i="10"/>
  <c r="AW73" i="10"/>
  <c r="U70" i="6" l="1"/>
  <c r="V70" i="6" s="1"/>
  <c r="AO76" i="10"/>
  <c r="N72" i="6"/>
  <c r="AN73" i="6"/>
  <c r="AQ73" i="6"/>
  <c r="N74" i="10"/>
  <c r="AF75" i="10"/>
  <c r="AG75" i="10" s="1"/>
  <c r="M75" i="10" s="1"/>
  <c r="AQ75" i="10"/>
  <c r="AR75" i="10" s="1"/>
  <c r="AN75" i="10"/>
  <c r="A79" i="10"/>
  <c r="AI73" i="6"/>
  <c r="AJ73" i="6" s="1"/>
  <c r="AK73" i="6" s="1"/>
  <c r="AV73" i="6"/>
  <c r="BC73" i="6" s="1"/>
  <c r="AF73" i="6"/>
  <c r="AG73" i="6" s="1"/>
  <c r="M73" i="6" s="1"/>
  <c r="G73" i="6"/>
  <c r="H73" i="6" s="1"/>
  <c r="I73" i="6" s="1"/>
  <c r="J73" i="6" s="1"/>
  <c r="K73" i="6" s="1"/>
  <c r="E74" i="6"/>
  <c r="F74" i="6" s="1"/>
  <c r="AM74" i="6" s="1"/>
  <c r="BF76" i="6"/>
  <c r="BG76" i="6" s="1"/>
  <c r="T76" i="6" s="1"/>
  <c r="BB77" i="6"/>
  <c r="AT77" i="6"/>
  <c r="AY77" i="6"/>
  <c r="R71" i="6"/>
  <c r="Q71" i="6"/>
  <c r="S71" i="6" s="1"/>
  <c r="Z75" i="6"/>
  <c r="AA75" i="6" s="1"/>
  <c r="AO75" i="6" s="1"/>
  <c r="AR75" i="6" s="1"/>
  <c r="X76" i="6"/>
  <c r="Y76" i="6"/>
  <c r="BD72" i="6"/>
  <c r="O72" i="6" s="1"/>
  <c r="V71" i="6"/>
  <c r="A78" i="6"/>
  <c r="AL77" i="6"/>
  <c r="BE77" i="6"/>
  <c r="B77" i="6"/>
  <c r="D77" i="6" s="1"/>
  <c r="BD73" i="10"/>
  <c r="O73" i="10" s="1"/>
  <c r="P73" i="10" s="1"/>
  <c r="U72" i="10"/>
  <c r="V72" i="10" s="1"/>
  <c r="R72" i="10"/>
  <c r="Q72" i="10"/>
  <c r="S72" i="10" s="1"/>
  <c r="L73" i="10"/>
  <c r="K73" i="10"/>
  <c r="B78" i="10"/>
  <c r="D78" i="10" s="1"/>
  <c r="Y78" i="10" s="1"/>
  <c r="BG78" i="10"/>
  <c r="T78" i="10" s="1"/>
  <c r="AI75" i="10"/>
  <c r="AJ75" i="10" s="1"/>
  <c r="AK75" i="10" s="1"/>
  <c r="G75" i="10"/>
  <c r="AV75" i="10"/>
  <c r="AZ75" i="10" s="1"/>
  <c r="E76" i="10"/>
  <c r="F76" i="10" s="1"/>
  <c r="AM76" i="10" s="1"/>
  <c r="X77" i="10"/>
  <c r="Z77" i="10" s="1"/>
  <c r="AA77" i="10" s="1"/>
  <c r="BC74" i="10"/>
  <c r="AW74" i="10"/>
  <c r="H74" i="10"/>
  <c r="I74" i="10" s="1"/>
  <c r="J74" i="10" s="1"/>
  <c r="AO77" i="10" l="1"/>
  <c r="N73" i="6"/>
  <c r="P72" i="6"/>
  <c r="R72" i="6" s="1"/>
  <c r="AN74" i="6"/>
  <c r="AQ74" i="6"/>
  <c r="AF74" i="6"/>
  <c r="AG74" i="6" s="1"/>
  <c r="M74" i="6" s="1"/>
  <c r="L73" i="6"/>
  <c r="N75" i="10"/>
  <c r="AF76" i="10"/>
  <c r="AG76" i="10" s="1"/>
  <c r="M76" i="10" s="1"/>
  <c r="AQ76" i="10"/>
  <c r="AR76" i="10" s="1"/>
  <c r="AN76" i="10"/>
  <c r="A80" i="10"/>
  <c r="AW73" i="6"/>
  <c r="BD73" i="6" s="1"/>
  <c r="O73" i="6" s="1"/>
  <c r="P73" i="6" s="1"/>
  <c r="E75" i="6"/>
  <c r="F75" i="6" s="1"/>
  <c r="AI74" i="6"/>
  <c r="AJ74" i="6" s="1"/>
  <c r="AK74" i="6" s="1"/>
  <c r="N74" i="6" s="1"/>
  <c r="G74" i="6"/>
  <c r="H74" i="6" s="1"/>
  <c r="I74" i="6" s="1"/>
  <c r="J74" i="6" s="1"/>
  <c r="K74" i="6" s="1"/>
  <c r="AV74" i="6"/>
  <c r="AW74" i="6" s="1"/>
  <c r="AT78" i="6"/>
  <c r="BB78" i="6"/>
  <c r="AY78" i="6"/>
  <c r="BF77" i="6"/>
  <c r="BG77" i="6" s="1"/>
  <c r="T77" i="6" s="1"/>
  <c r="X77" i="6"/>
  <c r="Y77" i="6"/>
  <c r="Q72" i="6"/>
  <c r="S72" i="6" s="1"/>
  <c r="Z76" i="6"/>
  <c r="AA76" i="6" s="1"/>
  <c r="AO76" i="6" s="1"/>
  <c r="AR76" i="6" s="1"/>
  <c r="A79" i="6"/>
  <c r="AL78" i="6"/>
  <c r="B78" i="6"/>
  <c r="D78" i="6" s="1"/>
  <c r="BE78" i="6"/>
  <c r="L74" i="10"/>
  <c r="K74" i="10"/>
  <c r="BD74" i="10"/>
  <c r="O74" i="10" s="1"/>
  <c r="P74" i="10" s="1"/>
  <c r="E77" i="10"/>
  <c r="F77" i="10" s="1"/>
  <c r="AM77" i="10" s="1"/>
  <c r="X78" i="10"/>
  <c r="Z78" i="10" s="1"/>
  <c r="AA78" i="10" s="1"/>
  <c r="B79" i="10"/>
  <c r="D79" i="10" s="1"/>
  <c r="Y79" i="10" s="1"/>
  <c r="BG79" i="10"/>
  <c r="T79" i="10" s="1"/>
  <c r="U73" i="10"/>
  <c r="V73" i="10" s="1"/>
  <c r="R73" i="10"/>
  <c r="Q73" i="10"/>
  <c r="S73" i="10" s="1"/>
  <c r="AI76" i="10"/>
  <c r="AJ76" i="10" s="1"/>
  <c r="AK76" i="10" s="1"/>
  <c r="G76" i="10"/>
  <c r="AV76" i="10"/>
  <c r="AZ76" i="10" s="1"/>
  <c r="BC75" i="10"/>
  <c r="AW75" i="10"/>
  <c r="H75" i="10"/>
  <c r="I75" i="10" s="1"/>
  <c r="J75" i="10" s="1"/>
  <c r="U72" i="6" l="1"/>
  <c r="V72" i="6" s="1"/>
  <c r="AI75" i="6"/>
  <c r="AJ75" i="6" s="1"/>
  <c r="AK75" i="6" s="1"/>
  <c r="AM75" i="6"/>
  <c r="AN75" i="6" s="1"/>
  <c r="AO78" i="10"/>
  <c r="N76" i="10"/>
  <c r="AV75" i="6"/>
  <c r="AW75" i="6" s="1"/>
  <c r="AF75" i="6"/>
  <c r="AG75" i="6" s="1"/>
  <c r="M75" i="6" s="1"/>
  <c r="G75" i="6"/>
  <c r="H75" i="6" s="1"/>
  <c r="I75" i="6" s="1"/>
  <c r="J75" i="6" s="1"/>
  <c r="L75" i="6" s="1"/>
  <c r="AQ75" i="6"/>
  <c r="L74" i="6"/>
  <c r="AF77" i="10"/>
  <c r="AG77" i="10" s="1"/>
  <c r="M77" i="10" s="1"/>
  <c r="AQ77" i="10"/>
  <c r="AR77" i="10" s="1"/>
  <c r="AN77" i="10"/>
  <c r="A81" i="10"/>
  <c r="E76" i="6"/>
  <c r="F76" i="6" s="1"/>
  <c r="AM76" i="6" s="1"/>
  <c r="BC74" i="6"/>
  <c r="BD74" i="6" s="1"/>
  <c r="O74" i="6" s="1"/>
  <c r="P74" i="6" s="1"/>
  <c r="Q74" i="6" s="1"/>
  <c r="S74" i="6" s="1"/>
  <c r="BF78" i="6"/>
  <c r="BG78" i="6" s="1"/>
  <c r="T78" i="6" s="1"/>
  <c r="AY79" i="6"/>
  <c r="AT79" i="6"/>
  <c r="BB79" i="6"/>
  <c r="BF79" i="6" s="1"/>
  <c r="Z77" i="6"/>
  <c r="AA77" i="6" s="1"/>
  <c r="AO77" i="6" s="1"/>
  <c r="AR77" i="6" s="1"/>
  <c r="Q73" i="6"/>
  <c r="S73" i="6" s="1"/>
  <c r="R73" i="6"/>
  <c r="U73" i="6"/>
  <c r="V73" i="6" s="1"/>
  <c r="BC75" i="6"/>
  <c r="X78" i="6"/>
  <c r="Y78" i="6"/>
  <c r="A80" i="6"/>
  <c r="AL79" i="6"/>
  <c r="B79" i="6"/>
  <c r="D79" i="6" s="1"/>
  <c r="BE79" i="6"/>
  <c r="L75" i="10"/>
  <c r="K75" i="10"/>
  <c r="R74" i="10"/>
  <c r="Q74" i="10"/>
  <c r="S74" i="10" s="1"/>
  <c r="U74" i="10"/>
  <c r="V74" i="10" s="1"/>
  <c r="B80" i="10"/>
  <c r="D80" i="10" s="1"/>
  <c r="Y80" i="10" s="1"/>
  <c r="BG80" i="10"/>
  <c r="T80" i="10" s="1"/>
  <c r="X79" i="10"/>
  <c r="Z79" i="10" s="1"/>
  <c r="AA79" i="10" s="1"/>
  <c r="BD75" i="10"/>
  <c r="O75" i="10" s="1"/>
  <c r="P75" i="10" s="1"/>
  <c r="BC76" i="10"/>
  <c r="AW76" i="10"/>
  <c r="E78" i="10"/>
  <c r="F78" i="10" s="1"/>
  <c r="AM78" i="10" s="1"/>
  <c r="H76" i="10"/>
  <c r="I76" i="10" s="1"/>
  <c r="J76" i="10" s="1"/>
  <c r="AI77" i="10"/>
  <c r="AJ77" i="10" s="1"/>
  <c r="AK77" i="10" s="1"/>
  <c r="AV77" i="10"/>
  <c r="AZ77" i="10" s="1"/>
  <c r="G77" i="10"/>
  <c r="N75" i="6" l="1"/>
  <c r="AO79" i="10"/>
  <c r="N77" i="10"/>
  <c r="K75" i="6"/>
  <c r="AI76" i="6"/>
  <c r="AJ76" i="6" s="1"/>
  <c r="AK76" i="6" s="1"/>
  <c r="AQ76" i="6"/>
  <c r="G76" i="6"/>
  <c r="H76" i="6" s="1"/>
  <c r="I76" i="6" s="1"/>
  <c r="J76" i="6" s="1"/>
  <c r="L76" i="6" s="1"/>
  <c r="AN76" i="6"/>
  <c r="A82" i="10"/>
  <c r="AF78" i="10"/>
  <c r="AG78" i="10" s="1"/>
  <c r="M78" i="10" s="1"/>
  <c r="AQ78" i="10"/>
  <c r="AR78" i="10" s="1"/>
  <c r="AN78" i="10"/>
  <c r="AV76" i="6"/>
  <c r="BC76" i="6" s="1"/>
  <c r="R74" i="6"/>
  <c r="AF76" i="6"/>
  <c r="AG76" i="6" s="1"/>
  <c r="M76" i="6" s="1"/>
  <c r="U74" i="6"/>
  <c r="V74" i="6" s="1"/>
  <c r="E77" i="6"/>
  <c r="F77" i="6" s="1"/>
  <c r="BG79" i="6"/>
  <c r="T79" i="6" s="1"/>
  <c r="BD75" i="6"/>
  <c r="O75" i="6" s="1"/>
  <c r="P75" i="6" s="1"/>
  <c r="AT80" i="6"/>
  <c r="AY80" i="6"/>
  <c r="BB80" i="6"/>
  <c r="Z78" i="6"/>
  <c r="AA78" i="6" s="1"/>
  <c r="AO78" i="6" s="1"/>
  <c r="AR78" i="6" s="1"/>
  <c r="X79" i="6"/>
  <c r="Y79" i="6"/>
  <c r="A81" i="6"/>
  <c r="AL80" i="6"/>
  <c r="BE80" i="6"/>
  <c r="B80" i="6"/>
  <c r="D80" i="6" s="1"/>
  <c r="L76" i="10"/>
  <c r="K76" i="10"/>
  <c r="E79" i="10"/>
  <c r="F79" i="10" s="1"/>
  <c r="AM79" i="10" s="1"/>
  <c r="X80" i="10"/>
  <c r="Z80" i="10" s="1"/>
  <c r="AA80" i="10" s="1"/>
  <c r="AO80" i="10" s="1"/>
  <c r="BC77" i="10"/>
  <c r="AW77" i="10"/>
  <c r="BG81" i="10"/>
  <c r="T81" i="10" s="1"/>
  <c r="B81" i="10"/>
  <c r="D81" i="10" s="1"/>
  <c r="Y81" i="10" s="1"/>
  <c r="AI78" i="10"/>
  <c r="AJ78" i="10" s="1"/>
  <c r="AK78" i="10" s="1"/>
  <c r="G78" i="10"/>
  <c r="AV78" i="10"/>
  <c r="AZ78" i="10" s="1"/>
  <c r="BD76" i="10"/>
  <c r="O76" i="10" s="1"/>
  <c r="P76" i="10" s="1"/>
  <c r="U75" i="10"/>
  <c r="V75" i="10" s="1"/>
  <c r="R75" i="10"/>
  <c r="Q75" i="10"/>
  <c r="S75" i="10" s="1"/>
  <c r="H77" i="10"/>
  <c r="I77" i="10" s="1"/>
  <c r="J77" i="10" s="1"/>
  <c r="AM77" i="6" l="1"/>
  <c r="AN77" i="6" s="1"/>
  <c r="K76" i="6"/>
  <c r="AW76" i="6"/>
  <c r="BD76" i="6" s="1"/>
  <c r="O76" i="6" s="1"/>
  <c r="AF77" i="6"/>
  <c r="AG77" i="6" s="1"/>
  <c r="M77" i="6" s="1"/>
  <c r="AQ77" i="6"/>
  <c r="N76" i="6"/>
  <c r="N78" i="10"/>
  <c r="AF79" i="10"/>
  <c r="AG79" i="10" s="1"/>
  <c r="M79" i="10" s="1"/>
  <c r="AQ79" i="10"/>
  <c r="AR79" i="10" s="1"/>
  <c r="AN79" i="10"/>
  <c r="A83" i="10"/>
  <c r="Q75" i="6"/>
  <c r="S75" i="6" s="1"/>
  <c r="U75" i="6"/>
  <c r="V75" i="6" s="1"/>
  <c r="G77" i="6"/>
  <c r="H77" i="6" s="1"/>
  <c r="I77" i="6" s="1"/>
  <c r="J77" i="6" s="1"/>
  <c r="L77" i="6" s="1"/>
  <c r="AV77" i="6"/>
  <c r="BC77" i="6" s="1"/>
  <c r="AI77" i="6"/>
  <c r="AJ77" i="6" s="1"/>
  <c r="AK77" i="6" s="1"/>
  <c r="E78" i="6"/>
  <c r="F78" i="6" s="1"/>
  <c r="AM78" i="6" s="1"/>
  <c r="R75" i="6"/>
  <c r="BF80" i="6"/>
  <c r="BG80" i="6" s="1"/>
  <c r="T80" i="6" s="1"/>
  <c r="AY81" i="6"/>
  <c r="AT81" i="6"/>
  <c r="BB81" i="6"/>
  <c r="X80" i="6"/>
  <c r="Y80" i="6"/>
  <c r="Z79" i="6"/>
  <c r="AA79" i="6" s="1"/>
  <c r="AO79" i="6" s="1"/>
  <c r="AR79" i="6" s="1"/>
  <c r="A82" i="6"/>
  <c r="AL81" i="6"/>
  <c r="BE81" i="6"/>
  <c r="B81" i="6"/>
  <c r="D81" i="6" s="1"/>
  <c r="R76" i="10"/>
  <c r="Q76" i="10"/>
  <c r="S76" i="10" s="1"/>
  <c r="U76" i="10"/>
  <c r="V76" i="10" s="1"/>
  <c r="E80" i="10"/>
  <c r="F80" i="10" s="1"/>
  <c r="AM80" i="10" s="1"/>
  <c r="AI79" i="10"/>
  <c r="AJ79" i="10" s="1"/>
  <c r="AK79" i="10" s="1"/>
  <c r="AV79" i="10"/>
  <c r="AZ79" i="10" s="1"/>
  <c r="G79" i="10"/>
  <c r="B82" i="10"/>
  <c r="D82" i="10" s="1"/>
  <c r="Y82" i="10" s="1"/>
  <c r="BG82" i="10"/>
  <c r="T82" i="10" s="1"/>
  <c r="BD77" i="10"/>
  <c r="O77" i="10" s="1"/>
  <c r="P77" i="10" s="1"/>
  <c r="BC78" i="10"/>
  <c r="AW78" i="10"/>
  <c r="H78" i="10"/>
  <c r="I78" i="10" s="1"/>
  <c r="J78" i="10" s="1"/>
  <c r="L77" i="10"/>
  <c r="K77" i="10"/>
  <c r="X81" i="10"/>
  <c r="Z81" i="10" s="1"/>
  <c r="AA81" i="10" s="1"/>
  <c r="P76" i="6" l="1"/>
  <c r="Q76" i="6" s="1"/>
  <c r="S76" i="6" s="1"/>
  <c r="N77" i="6"/>
  <c r="AO81" i="10"/>
  <c r="AI78" i="6"/>
  <c r="AJ78" i="6" s="1"/>
  <c r="AK78" i="6" s="1"/>
  <c r="AQ78" i="6"/>
  <c r="N79" i="10"/>
  <c r="K77" i="6"/>
  <c r="AF80" i="10"/>
  <c r="AG80" i="10" s="1"/>
  <c r="M80" i="10" s="1"/>
  <c r="AQ80" i="10"/>
  <c r="AR80" i="10" s="1"/>
  <c r="AN80" i="10"/>
  <c r="N80" i="10" s="1"/>
  <c r="A84" i="10"/>
  <c r="AW77" i="6"/>
  <c r="BD77" i="6" s="1"/>
  <c r="O77" i="6" s="1"/>
  <c r="P77" i="6" s="1"/>
  <c r="G78" i="6"/>
  <c r="H78" i="6" s="1"/>
  <c r="I78" i="6" s="1"/>
  <c r="J78" i="6" s="1"/>
  <c r="L78" i="6" s="1"/>
  <c r="AN78" i="6"/>
  <c r="BF81" i="6"/>
  <c r="BG81" i="6" s="1"/>
  <c r="T81" i="6" s="1"/>
  <c r="AV78" i="6"/>
  <c r="AW78" i="6" s="1"/>
  <c r="E79" i="6"/>
  <c r="F79" i="6" s="1"/>
  <c r="AF78" i="6"/>
  <c r="AG78" i="6" s="1"/>
  <c r="M78" i="6" s="1"/>
  <c r="AY82" i="6"/>
  <c r="BB82" i="6"/>
  <c r="AT82" i="6"/>
  <c r="X81" i="6"/>
  <c r="Y81" i="6"/>
  <c r="Z80" i="6"/>
  <c r="AA80" i="6" s="1"/>
  <c r="AO80" i="6" s="1"/>
  <c r="AR80" i="6" s="1"/>
  <c r="A83" i="6"/>
  <c r="AL82" i="6"/>
  <c r="B82" i="6"/>
  <c r="D82" i="6" s="1"/>
  <c r="BE82" i="6"/>
  <c r="L78" i="10"/>
  <c r="K78" i="10"/>
  <c r="E81" i="10"/>
  <c r="F81" i="10" s="1"/>
  <c r="AM81" i="10" s="1"/>
  <c r="B83" i="10"/>
  <c r="D83" i="10" s="1"/>
  <c r="Y83" i="10" s="1"/>
  <c r="BG83" i="10"/>
  <c r="T83" i="10" s="1"/>
  <c r="BC79" i="10"/>
  <c r="AW79" i="10"/>
  <c r="X82" i="10"/>
  <c r="Z82" i="10" s="1"/>
  <c r="AA82" i="10" s="1"/>
  <c r="U77" i="10"/>
  <c r="V77" i="10" s="1"/>
  <c r="R77" i="10"/>
  <c r="Q77" i="10"/>
  <c r="S77" i="10" s="1"/>
  <c r="H79" i="10"/>
  <c r="I79" i="10" s="1"/>
  <c r="J79" i="10" s="1"/>
  <c r="AI80" i="10"/>
  <c r="AJ80" i="10" s="1"/>
  <c r="AK80" i="10" s="1"/>
  <c r="AV80" i="10"/>
  <c r="AZ80" i="10" s="1"/>
  <c r="G80" i="10"/>
  <c r="BD78" i="10"/>
  <c r="O78" i="10" s="1"/>
  <c r="P78" i="10" s="1"/>
  <c r="R76" i="6" l="1"/>
  <c r="U76" i="6"/>
  <c r="V76" i="6" s="1"/>
  <c r="AM79" i="6"/>
  <c r="AN79" i="6" s="1"/>
  <c r="AO82" i="10"/>
  <c r="G79" i="6"/>
  <c r="H79" i="6" s="1"/>
  <c r="I79" i="6" s="1"/>
  <c r="J79" i="6" s="1"/>
  <c r="L79" i="6" s="1"/>
  <c r="AQ79" i="6"/>
  <c r="N78" i="6"/>
  <c r="K78" i="6"/>
  <c r="A85" i="10"/>
  <c r="AF81" i="10"/>
  <c r="AG81" i="10" s="1"/>
  <c r="M81" i="10" s="1"/>
  <c r="AQ81" i="10"/>
  <c r="AR81" i="10" s="1"/>
  <c r="AN81" i="10"/>
  <c r="BC78" i="6"/>
  <c r="BD78" i="6" s="1"/>
  <c r="O78" i="6" s="1"/>
  <c r="AF79" i="6"/>
  <c r="AG79" i="6" s="1"/>
  <c r="M79" i="6" s="1"/>
  <c r="AI79" i="6"/>
  <c r="AJ79" i="6" s="1"/>
  <c r="AK79" i="6" s="1"/>
  <c r="AV79" i="6"/>
  <c r="AW79" i="6" s="1"/>
  <c r="E80" i="6"/>
  <c r="F80" i="6" s="1"/>
  <c r="BF82" i="6"/>
  <c r="BG82" i="6" s="1"/>
  <c r="T82" i="6" s="1"/>
  <c r="AY83" i="6"/>
  <c r="AT83" i="6"/>
  <c r="BB83" i="6"/>
  <c r="X82" i="6"/>
  <c r="Y82" i="6"/>
  <c r="U77" i="6"/>
  <c r="V77" i="6" s="1"/>
  <c r="Q77" i="6"/>
  <c r="S77" i="6" s="1"/>
  <c r="R77" i="6"/>
  <c r="Z81" i="6"/>
  <c r="AA81" i="6" s="1"/>
  <c r="AO81" i="6" s="1"/>
  <c r="AR81" i="6" s="1"/>
  <c r="A84" i="6"/>
  <c r="AL83" i="6"/>
  <c r="B83" i="6"/>
  <c r="D83" i="6" s="1"/>
  <c r="BE83" i="6"/>
  <c r="R78" i="10"/>
  <c r="Q78" i="10"/>
  <c r="S78" i="10" s="1"/>
  <c r="U78" i="10"/>
  <c r="V78" i="10" s="1"/>
  <c r="BC80" i="10"/>
  <c r="AW80" i="10"/>
  <c r="K79" i="10"/>
  <c r="L79" i="10"/>
  <c r="BD79" i="10"/>
  <c r="O79" i="10" s="1"/>
  <c r="P79" i="10" s="1"/>
  <c r="B84" i="10"/>
  <c r="D84" i="10" s="1"/>
  <c r="Y84" i="10" s="1"/>
  <c r="BG84" i="10"/>
  <c r="T84" i="10" s="1"/>
  <c r="H80" i="10"/>
  <c r="I80" i="10" s="1"/>
  <c r="J80" i="10" s="1"/>
  <c r="X83" i="10"/>
  <c r="Z83" i="10" s="1"/>
  <c r="AA83" i="10" s="1"/>
  <c r="AV81" i="10"/>
  <c r="AZ81" i="10" s="1"/>
  <c r="AI81" i="10"/>
  <c r="AJ81" i="10" s="1"/>
  <c r="AK81" i="10" s="1"/>
  <c r="G81" i="10"/>
  <c r="E82" i="10"/>
  <c r="F82" i="10" s="1"/>
  <c r="AM82" i="10" s="1"/>
  <c r="N81" i="10" l="1"/>
  <c r="AM80" i="6"/>
  <c r="AN80" i="6" s="1"/>
  <c r="N79" i="6"/>
  <c r="K79" i="6"/>
  <c r="AO83" i="10"/>
  <c r="P78" i="6"/>
  <c r="U78" i="6" s="1"/>
  <c r="V78" i="6" s="1"/>
  <c r="AV80" i="6"/>
  <c r="BC80" i="6" s="1"/>
  <c r="AQ80" i="6"/>
  <c r="AF82" i="10"/>
  <c r="AG82" i="10" s="1"/>
  <c r="M82" i="10" s="1"/>
  <c r="AQ82" i="10"/>
  <c r="AR82" i="10" s="1"/>
  <c r="AN82" i="10"/>
  <c r="A86" i="10"/>
  <c r="BF83" i="6"/>
  <c r="BG83" i="6" s="1"/>
  <c r="T83" i="6" s="1"/>
  <c r="G80" i="6"/>
  <c r="H80" i="6" s="1"/>
  <c r="I80" i="6" s="1"/>
  <c r="J80" i="6" s="1"/>
  <c r="K80" i="6" s="1"/>
  <c r="AF80" i="6"/>
  <c r="AG80" i="6" s="1"/>
  <c r="M80" i="6" s="1"/>
  <c r="E81" i="6"/>
  <c r="F81" i="6" s="1"/>
  <c r="AM81" i="6" s="1"/>
  <c r="AI80" i="6"/>
  <c r="AJ80" i="6" s="1"/>
  <c r="AK80" i="6" s="1"/>
  <c r="BC79" i="6"/>
  <c r="BD79" i="6" s="1"/>
  <c r="O79" i="6" s="1"/>
  <c r="P79" i="6" s="1"/>
  <c r="BB84" i="6"/>
  <c r="AY84" i="6"/>
  <c r="AT84" i="6"/>
  <c r="Z82" i="6"/>
  <c r="AA82" i="6" s="1"/>
  <c r="AO82" i="6" s="1"/>
  <c r="AR82" i="6" s="1"/>
  <c r="X83" i="6"/>
  <c r="Y83" i="6"/>
  <c r="A85" i="6"/>
  <c r="AL84" i="6"/>
  <c r="B84" i="6"/>
  <c r="D84" i="6" s="1"/>
  <c r="BE84" i="6"/>
  <c r="BD80" i="10"/>
  <c r="O80" i="10" s="1"/>
  <c r="P80" i="10" s="1"/>
  <c r="U79" i="10"/>
  <c r="V79" i="10" s="1"/>
  <c r="Q79" i="10"/>
  <c r="S79" i="10" s="1"/>
  <c r="R79" i="10"/>
  <c r="K80" i="10"/>
  <c r="L80" i="10"/>
  <c r="E83" i="10"/>
  <c r="F83" i="10" s="1"/>
  <c r="AM83" i="10" s="1"/>
  <c r="H81" i="10"/>
  <c r="I81" i="10" s="1"/>
  <c r="J81" i="10" s="1"/>
  <c r="AV82" i="10"/>
  <c r="AZ82" i="10" s="1"/>
  <c r="AI82" i="10"/>
  <c r="AJ82" i="10" s="1"/>
  <c r="AK82" i="10" s="1"/>
  <c r="G82" i="10"/>
  <c r="BC81" i="10"/>
  <c r="AW81" i="10"/>
  <c r="X84" i="10"/>
  <c r="Z84" i="10" s="1"/>
  <c r="AA84" i="10" s="1"/>
  <c r="B85" i="10"/>
  <c r="D85" i="10" s="1"/>
  <c r="Y85" i="10" s="1"/>
  <c r="BG85" i="10"/>
  <c r="T85" i="10" s="1"/>
  <c r="N80" i="6" l="1"/>
  <c r="Q78" i="6"/>
  <c r="S78" i="6" s="1"/>
  <c r="R78" i="6"/>
  <c r="AO84" i="10"/>
  <c r="AQ81" i="6"/>
  <c r="AN81" i="6"/>
  <c r="AW80" i="6"/>
  <c r="AI81" i="6"/>
  <c r="AJ81" i="6" s="1"/>
  <c r="AK81" i="6" s="1"/>
  <c r="N81" i="6" s="1"/>
  <c r="AV81" i="6"/>
  <c r="AW81" i="6" s="1"/>
  <c r="G81" i="6"/>
  <c r="H81" i="6" s="1"/>
  <c r="I81" i="6" s="1"/>
  <c r="J81" i="6" s="1"/>
  <c r="L81" i="6" s="1"/>
  <c r="AF81" i="6"/>
  <c r="AG81" i="6" s="1"/>
  <c r="M81" i="6" s="1"/>
  <c r="N82" i="10"/>
  <c r="A87" i="10"/>
  <c r="AF83" i="10"/>
  <c r="AG83" i="10" s="1"/>
  <c r="M83" i="10" s="1"/>
  <c r="AQ83" i="10"/>
  <c r="AR83" i="10" s="1"/>
  <c r="AN83" i="10"/>
  <c r="L80" i="6"/>
  <c r="E82" i="6"/>
  <c r="F82" i="6" s="1"/>
  <c r="AM82" i="6" s="1"/>
  <c r="AN82" i="6" s="1"/>
  <c r="Q79" i="6"/>
  <c r="S79" i="6" s="1"/>
  <c r="U79" i="6"/>
  <c r="V79" i="6" s="1"/>
  <c r="R79" i="6"/>
  <c r="AY85" i="6"/>
  <c r="AT85" i="6"/>
  <c r="BB85" i="6"/>
  <c r="BF84" i="6"/>
  <c r="BG84" i="6" s="1"/>
  <c r="T84" i="6" s="1"/>
  <c r="Z83" i="6"/>
  <c r="AA83" i="6" s="1"/>
  <c r="AO83" i="6" s="1"/>
  <c r="AR83" i="6" s="1"/>
  <c r="X84" i="6"/>
  <c r="Y84" i="6"/>
  <c r="BD80" i="6"/>
  <c r="O80" i="6" s="1"/>
  <c r="P80" i="6" s="1"/>
  <c r="AF82" i="6"/>
  <c r="AG82" i="6" s="1"/>
  <c r="M82" i="6" s="1"/>
  <c r="A86" i="6"/>
  <c r="AL85" i="6"/>
  <c r="B85" i="6"/>
  <c r="D85" i="6" s="1"/>
  <c r="BE85" i="6"/>
  <c r="L81" i="10"/>
  <c r="K81" i="10"/>
  <c r="B86" i="10"/>
  <c r="D86" i="10" s="1"/>
  <c r="Y86" i="10" s="1"/>
  <c r="BG86" i="10"/>
  <c r="T86" i="10" s="1"/>
  <c r="X85" i="10"/>
  <c r="Z85" i="10" s="1"/>
  <c r="AA85" i="10" s="1"/>
  <c r="U80" i="10"/>
  <c r="V80" i="10" s="1"/>
  <c r="R80" i="10"/>
  <c r="Q80" i="10"/>
  <c r="S80" i="10" s="1"/>
  <c r="BD81" i="10"/>
  <c r="O81" i="10" s="1"/>
  <c r="P81" i="10" s="1"/>
  <c r="H82" i="10"/>
  <c r="I82" i="10" s="1"/>
  <c r="J82" i="10" s="1"/>
  <c r="E84" i="10"/>
  <c r="F84" i="10" s="1"/>
  <c r="AM84" i="10" s="1"/>
  <c r="AV83" i="10"/>
  <c r="AZ83" i="10" s="1"/>
  <c r="G83" i="10"/>
  <c r="AI83" i="10"/>
  <c r="AJ83" i="10" s="1"/>
  <c r="AK83" i="10" s="1"/>
  <c r="BC82" i="10"/>
  <c r="AW82" i="10"/>
  <c r="AI82" i="6" l="1"/>
  <c r="AJ82" i="6" s="1"/>
  <c r="AK82" i="6" s="1"/>
  <c r="N82" i="6" s="1"/>
  <c r="AO85" i="10"/>
  <c r="N83" i="10"/>
  <c r="K81" i="6"/>
  <c r="BF85" i="6"/>
  <c r="BG85" i="6" s="1"/>
  <c r="T85" i="6" s="1"/>
  <c r="BC81" i="6"/>
  <c r="AV82" i="6"/>
  <c r="BC82" i="6" s="1"/>
  <c r="AQ82" i="6"/>
  <c r="AF84" i="10"/>
  <c r="AG84" i="10" s="1"/>
  <c r="M84" i="10" s="1"/>
  <c r="AQ84" i="10"/>
  <c r="AR84" i="10" s="1"/>
  <c r="AN84" i="10"/>
  <c r="A88" i="10"/>
  <c r="G82" i="6"/>
  <c r="H82" i="6" s="1"/>
  <c r="I82" i="6" s="1"/>
  <c r="J82" i="6" s="1"/>
  <c r="K82" i="6" s="1"/>
  <c r="E83" i="6"/>
  <c r="F83" i="6" s="1"/>
  <c r="AM83" i="6" s="1"/>
  <c r="AT86" i="6"/>
  <c r="AY86" i="6"/>
  <c r="BB86" i="6"/>
  <c r="BD81" i="6"/>
  <c r="O81" i="6" s="1"/>
  <c r="P81" i="6" s="1"/>
  <c r="R81" i="6" s="1"/>
  <c r="AW82" i="6"/>
  <c r="Q80" i="6"/>
  <c r="S80" i="6" s="1"/>
  <c r="R80" i="6"/>
  <c r="U80" i="6"/>
  <c r="V80" i="6" s="1"/>
  <c r="Z84" i="6"/>
  <c r="AA84" i="6" s="1"/>
  <c r="AO84" i="6" s="1"/>
  <c r="AR84" i="6" s="1"/>
  <c r="X85" i="6"/>
  <c r="Y85" i="6"/>
  <c r="A87" i="6"/>
  <c r="AL86" i="6"/>
  <c r="B86" i="6"/>
  <c r="D86" i="6" s="1"/>
  <c r="BE86" i="6"/>
  <c r="BD82" i="10"/>
  <c r="O82" i="10" s="1"/>
  <c r="P82" i="10" s="1"/>
  <c r="H83" i="10"/>
  <c r="I83" i="10" s="1"/>
  <c r="J83" i="10" s="1"/>
  <c r="AI84" i="10"/>
  <c r="AJ84" i="10" s="1"/>
  <c r="AK84" i="10" s="1"/>
  <c r="G84" i="10"/>
  <c r="AV84" i="10"/>
  <c r="AZ84" i="10" s="1"/>
  <c r="B87" i="10"/>
  <c r="D87" i="10" s="1"/>
  <c r="Y87" i="10" s="1"/>
  <c r="BG87" i="10"/>
  <c r="T87" i="10" s="1"/>
  <c r="L82" i="10"/>
  <c r="K82" i="10"/>
  <c r="E85" i="10"/>
  <c r="F85" i="10" s="1"/>
  <c r="AM85" i="10" s="1"/>
  <c r="BC83" i="10"/>
  <c r="AW83" i="10"/>
  <c r="X86" i="10"/>
  <c r="Z86" i="10" s="1"/>
  <c r="AA86" i="10" s="1"/>
  <c r="U81" i="10"/>
  <c r="V81" i="10" s="1"/>
  <c r="R81" i="10"/>
  <c r="Q81" i="10"/>
  <c r="S81" i="10" s="1"/>
  <c r="AO86" i="10" l="1"/>
  <c r="AN83" i="6"/>
  <c r="AQ83" i="6"/>
  <c r="G83" i="6"/>
  <c r="H83" i="6" s="1"/>
  <c r="I83" i="6" s="1"/>
  <c r="J83" i="6" s="1"/>
  <c r="L83" i="6" s="1"/>
  <c r="L82" i="6"/>
  <c r="N84" i="10"/>
  <c r="AF85" i="10"/>
  <c r="AG85" i="10" s="1"/>
  <c r="M85" i="10" s="1"/>
  <c r="AQ85" i="10"/>
  <c r="AR85" i="10" s="1"/>
  <c r="AN85" i="10"/>
  <c r="A89" i="10"/>
  <c r="AI83" i="6"/>
  <c r="AJ83" i="6" s="1"/>
  <c r="AK83" i="6" s="1"/>
  <c r="AF83" i="6"/>
  <c r="AG83" i="6" s="1"/>
  <c r="M83" i="6" s="1"/>
  <c r="BF86" i="6"/>
  <c r="BG86" i="6" s="1"/>
  <c r="T86" i="6" s="1"/>
  <c r="E84" i="6"/>
  <c r="F84" i="6" s="1"/>
  <c r="AM84" i="6" s="1"/>
  <c r="AV83" i="6"/>
  <c r="AT87" i="6"/>
  <c r="BB87" i="6"/>
  <c r="AY87" i="6"/>
  <c r="K83" i="6"/>
  <c r="Q81" i="6"/>
  <c r="S81" i="6" s="1"/>
  <c r="U81" i="6"/>
  <c r="V81" i="6" s="1"/>
  <c r="Z85" i="6"/>
  <c r="AA85" i="6" s="1"/>
  <c r="AO85" i="6" s="1"/>
  <c r="AR85" i="6" s="1"/>
  <c r="X86" i="6"/>
  <c r="Y86" i="6"/>
  <c r="BD82" i="6"/>
  <c r="O82" i="6" s="1"/>
  <c r="P82" i="6" s="1"/>
  <c r="AF84" i="6"/>
  <c r="AG84" i="6" s="1"/>
  <c r="M84" i="6" s="1"/>
  <c r="AN84" i="6"/>
  <c r="A88" i="6"/>
  <c r="AL87" i="6"/>
  <c r="BE87" i="6"/>
  <c r="B87" i="6"/>
  <c r="D87" i="6" s="1"/>
  <c r="BD83" i="10"/>
  <c r="O83" i="10" s="1"/>
  <c r="P83" i="10" s="1"/>
  <c r="H84" i="10"/>
  <c r="I84" i="10" s="1"/>
  <c r="J84" i="10" s="1"/>
  <c r="B88" i="10"/>
  <c r="D88" i="10" s="1"/>
  <c r="Y88" i="10" s="1"/>
  <c r="BG88" i="10"/>
  <c r="T88" i="10" s="1"/>
  <c r="Q82" i="10"/>
  <c r="S82" i="10" s="1"/>
  <c r="R82" i="10"/>
  <c r="U82" i="10"/>
  <c r="V82" i="10" s="1"/>
  <c r="E86" i="10"/>
  <c r="F86" i="10" s="1"/>
  <c r="AM86" i="10" s="1"/>
  <c r="BC84" i="10"/>
  <c r="AW84" i="10"/>
  <c r="X87" i="10"/>
  <c r="Z87" i="10" s="1"/>
  <c r="AA87" i="10" s="1"/>
  <c r="AV85" i="10"/>
  <c r="AZ85" i="10" s="1"/>
  <c r="G85" i="10"/>
  <c r="AI85" i="10"/>
  <c r="AJ85" i="10" s="1"/>
  <c r="AK85" i="10" s="1"/>
  <c r="L83" i="10"/>
  <c r="K83" i="10"/>
  <c r="N85" i="10" l="1"/>
  <c r="G84" i="6"/>
  <c r="H84" i="6" s="1"/>
  <c r="I84" i="6" s="1"/>
  <c r="J84" i="6" s="1"/>
  <c r="AO87" i="10"/>
  <c r="N83" i="6"/>
  <c r="AV84" i="6"/>
  <c r="AQ84" i="6"/>
  <c r="A90" i="10"/>
  <c r="AF86" i="10"/>
  <c r="AG86" i="10" s="1"/>
  <c r="M86" i="10" s="1"/>
  <c r="AQ86" i="10"/>
  <c r="AR86" i="10" s="1"/>
  <c r="AN86" i="10"/>
  <c r="BC83" i="6"/>
  <c r="AW83" i="6"/>
  <c r="E85" i="6"/>
  <c r="F85" i="6" s="1"/>
  <c r="AM85" i="6" s="1"/>
  <c r="AI84" i="6"/>
  <c r="AJ84" i="6" s="1"/>
  <c r="AK84" i="6" s="1"/>
  <c r="N84" i="6" s="1"/>
  <c r="AY88" i="6"/>
  <c r="BB88" i="6"/>
  <c r="AT88" i="6"/>
  <c r="BF87" i="6"/>
  <c r="BG87" i="6" s="1"/>
  <c r="T87" i="6" s="1"/>
  <c r="AW84" i="6"/>
  <c r="BC84" i="6"/>
  <c r="X87" i="6"/>
  <c r="Y87" i="6"/>
  <c r="K84" i="6"/>
  <c r="L84" i="6"/>
  <c r="Q82" i="6"/>
  <c r="S82" i="6" s="1"/>
  <c r="R82" i="6"/>
  <c r="U82" i="6"/>
  <c r="V82" i="6" s="1"/>
  <c r="Z86" i="6"/>
  <c r="AA86" i="6" s="1"/>
  <c r="AO86" i="6" s="1"/>
  <c r="AR86" i="6" s="1"/>
  <c r="A89" i="6"/>
  <c r="AL88" i="6"/>
  <c r="BE88" i="6"/>
  <c r="B88" i="6"/>
  <c r="D88" i="6" s="1"/>
  <c r="L84" i="10"/>
  <c r="K84" i="10"/>
  <c r="E87" i="10"/>
  <c r="F87" i="10" s="1"/>
  <c r="AM87" i="10" s="1"/>
  <c r="X88" i="10"/>
  <c r="Z88" i="10" s="1"/>
  <c r="AA88" i="10" s="1"/>
  <c r="BC85" i="10"/>
  <c r="AW85" i="10"/>
  <c r="BD84" i="10"/>
  <c r="O84" i="10" s="1"/>
  <c r="P84" i="10" s="1"/>
  <c r="H85" i="10"/>
  <c r="I85" i="10" s="1"/>
  <c r="J85" i="10" s="1"/>
  <c r="B89" i="10"/>
  <c r="D89" i="10" s="1"/>
  <c r="Y89" i="10" s="1"/>
  <c r="BG89" i="10"/>
  <c r="T89" i="10" s="1"/>
  <c r="U83" i="10"/>
  <c r="V83" i="10" s="1"/>
  <c r="R83" i="10"/>
  <c r="Q83" i="10"/>
  <c r="S83" i="10" s="1"/>
  <c r="G86" i="10"/>
  <c r="AV86" i="10"/>
  <c r="AZ86" i="10" s="1"/>
  <c r="AI86" i="10"/>
  <c r="AJ86" i="10" s="1"/>
  <c r="AK86" i="10" s="1"/>
  <c r="AO88" i="10" l="1"/>
  <c r="BD83" i="6"/>
  <c r="O83" i="6" s="1"/>
  <c r="P83" i="6" s="1"/>
  <c r="R83" i="6" s="1"/>
  <c r="G85" i="6"/>
  <c r="H85" i="6" s="1"/>
  <c r="I85" i="6" s="1"/>
  <c r="J85" i="6" s="1"/>
  <c r="K85" i="6" s="1"/>
  <c r="AQ85" i="6"/>
  <c r="AF85" i="6"/>
  <c r="AG85" i="6" s="1"/>
  <c r="M85" i="6" s="1"/>
  <c r="N86" i="10"/>
  <c r="AF87" i="10"/>
  <c r="AG87" i="10" s="1"/>
  <c r="M87" i="10" s="1"/>
  <c r="AQ87" i="10"/>
  <c r="AR87" i="10" s="1"/>
  <c r="AN87" i="10"/>
  <c r="A91" i="10"/>
  <c r="AV85" i="6"/>
  <c r="AW85" i="6" s="1"/>
  <c r="AN85" i="6"/>
  <c r="AI85" i="6"/>
  <c r="AJ85" i="6" s="1"/>
  <c r="AK85" i="6" s="1"/>
  <c r="BD84" i="6"/>
  <c r="O84" i="6" s="1"/>
  <c r="E86" i="6"/>
  <c r="F86" i="6" s="1"/>
  <c r="P84" i="6"/>
  <c r="U84" i="6" s="1"/>
  <c r="BB89" i="6"/>
  <c r="AY89" i="6"/>
  <c r="AT89" i="6"/>
  <c r="BF88" i="6"/>
  <c r="BG88" i="6" s="1"/>
  <c r="T88" i="6" s="1"/>
  <c r="Z87" i="6"/>
  <c r="AA87" i="6" s="1"/>
  <c r="AO87" i="6" s="1"/>
  <c r="AR87" i="6" s="1"/>
  <c r="X88" i="6"/>
  <c r="Y88" i="6"/>
  <c r="A90" i="6"/>
  <c r="AL89" i="6"/>
  <c r="B89" i="6"/>
  <c r="D89" i="6" s="1"/>
  <c r="BE89" i="6"/>
  <c r="L85" i="10"/>
  <c r="K85" i="10"/>
  <c r="R84" i="10"/>
  <c r="Q84" i="10"/>
  <c r="S84" i="10" s="1"/>
  <c r="U84" i="10"/>
  <c r="V84" i="10" s="1"/>
  <c r="E88" i="10"/>
  <c r="F88" i="10" s="1"/>
  <c r="AM88" i="10" s="1"/>
  <c r="BC86" i="10"/>
  <c r="AW86" i="10"/>
  <c r="BD85" i="10"/>
  <c r="O85" i="10" s="1"/>
  <c r="P85" i="10" s="1"/>
  <c r="H86" i="10"/>
  <c r="I86" i="10" s="1"/>
  <c r="J86" i="10" s="1"/>
  <c r="AI87" i="10"/>
  <c r="AJ87" i="10" s="1"/>
  <c r="AK87" i="10" s="1"/>
  <c r="G87" i="10"/>
  <c r="AV87" i="10"/>
  <c r="AZ87" i="10" s="1"/>
  <c r="B90" i="10"/>
  <c r="D90" i="10" s="1"/>
  <c r="Y90" i="10" s="1"/>
  <c r="BG90" i="10"/>
  <c r="T90" i="10" s="1"/>
  <c r="X89" i="10"/>
  <c r="Z89" i="10" s="1"/>
  <c r="AA89" i="10" s="1"/>
  <c r="N87" i="10" l="1"/>
  <c r="U83" i="6"/>
  <c r="V83" i="6" s="1"/>
  <c r="Q83" i="6"/>
  <c r="S83" i="6" s="1"/>
  <c r="L85" i="6"/>
  <c r="AM86" i="6"/>
  <c r="AN86" i="6" s="1"/>
  <c r="AF86" i="6"/>
  <c r="AG86" i="6" s="1"/>
  <c r="M86" i="6" s="1"/>
  <c r="AO89" i="10"/>
  <c r="AI86" i="6"/>
  <c r="AJ86" i="6" s="1"/>
  <c r="AK86" i="6" s="1"/>
  <c r="G86" i="6"/>
  <c r="H86" i="6" s="1"/>
  <c r="I86" i="6" s="1"/>
  <c r="J86" i="6" s="1"/>
  <c r="L86" i="6" s="1"/>
  <c r="AV86" i="6"/>
  <c r="AW86" i="6" s="1"/>
  <c r="AQ86" i="6"/>
  <c r="N85" i="6"/>
  <c r="AF88" i="10"/>
  <c r="AG88" i="10" s="1"/>
  <c r="M88" i="10" s="1"/>
  <c r="AQ88" i="10"/>
  <c r="AR88" i="10" s="1"/>
  <c r="AN88" i="10"/>
  <c r="A92" i="10"/>
  <c r="BC85" i="6"/>
  <c r="BD85" i="6" s="1"/>
  <c r="O85" i="6" s="1"/>
  <c r="R84" i="6"/>
  <c r="Q84" i="6"/>
  <c r="S84" i="6" s="1"/>
  <c r="E87" i="6"/>
  <c r="F87" i="6" s="1"/>
  <c r="AM87" i="6" s="1"/>
  <c r="BB90" i="6"/>
  <c r="AY90" i="6"/>
  <c r="AT90" i="6"/>
  <c r="BF89" i="6"/>
  <c r="BG89" i="6" s="1"/>
  <c r="T89" i="6" s="1"/>
  <c r="Z88" i="6"/>
  <c r="AA88" i="6" s="1"/>
  <c r="AO88" i="6" s="1"/>
  <c r="AR88" i="6" s="1"/>
  <c r="X89" i="6"/>
  <c r="Y89" i="6"/>
  <c r="A91" i="6"/>
  <c r="AL90" i="6"/>
  <c r="B90" i="6"/>
  <c r="D90" i="6" s="1"/>
  <c r="BE90" i="6"/>
  <c r="L86" i="10"/>
  <c r="K86" i="10"/>
  <c r="AI88" i="10"/>
  <c r="AJ88" i="10" s="1"/>
  <c r="AK88" i="10" s="1"/>
  <c r="G88" i="10"/>
  <c r="AV88" i="10"/>
  <c r="AZ88" i="10" s="1"/>
  <c r="E89" i="10"/>
  <c r="F89" i="10" s="1"/>
  <c r="AM89" i="10" s="1"/>
  <c r="BD86" i="10"/>
  <c r="O86" i="10" s="1"/>
  <c r="P86" i="10" s="1"/>
  <c r="B91" i="10"/>
  <c r="D91" i="10" s="1"/>
  <c r="Y91" i="10" s="1"/>
  <c r="BG91" i="10"/>
  <c r="T91" i="10" s="1"/>
  <c r="X90" i="10"/>
  <c r="Z90" i="10" s="1"/>
  <c r="AA90" i="10" s="1"/>
  <c r="BC87" i="10"/>
  <c r="AW87" i="10"/>
  <c r="H87" i="10"/>
  <c r="I87" i="10" s="1"/>
  <c r="J87" i="10" s="1"/>
  <c r="U85" i="10"/>
  <c r="V85" i="10" s="1"/>
  <c r="R85" i="10"/>
  <c r="Q85" i="10"/>
  <c r="S85" i="10" s="1"/>
  <c r="V84" i="6" l="1"/>
  <c r="AI87" i="6"/>
  <c r="AJ87" i="6" s="1"/>
  <c r="AK87" i="6" s="1"/>
  <c r="N86" i="6"/>
  <c r="K86" i="6"/>
  <c r="AO90" i="10"/>
  <c r="BC86" i="6"/>
  <c r="BD86" i="6"/>
  <c r="O86" i="6" s="1"/>
  <c r="P86" i="6" s="1"/>
  <c r="P85" i="6"/>
  <c r="Q85" i="6" s="1"/>
  <c r="S85" i="6" s="1"/>
  <c r="AF87" i="6"/>
  <c r="AG87" i="6" s="1"/>
  <c r="M87" i="6" s="1"/>
  <c r="AQ87" i="6"/>
  <c r="N88" i="10"/>
  <c r="A93" i="10"/>
  <c r="AF89" i="10"/>
  <c r="AG89" i="10" s="1"/>
  <c r="M89" i="10" s="1"/>
  <c r="AQ89" i="10"/>
  <c r="AR89" i="10" s="1"/>
  <c r="AN89" i="10"/>
  <c r="G87" i="6"/>
  <c r="H87" i="6" s="1"/>
  <c r="I87" i="6" s="1"/>
  <c r="J87" i="6" s="1"/>
  <c r="AV87" i="6"/>
  <c r="AN87" i="6"/>
  <c r="N87" i="6" s="1"/>
  <c r="E88" i="6"/>
  <c r="F88" i="6" s="1"/>
  <c r="AM88" i="6" s="1"/>
  <c r="AY91" i="6"/>
  <c r="BB91" i="6"/>
  <c r="AT91" i="6"/>
  <c r="BF90" i="6"/>
  <c r="BG90" i="6" s="1"/>
  <c r="T90" i="6" s="1"/>
  <c r="X90" i="6"/>
  <c r="Y90" i="6"/>
  <c r="Z89" i="6"/>
  <c r="AA89" i="6" s="1"/>
  <c r="AO89" i="6" s="1"/>
  <c r="AR89" i="6" s="1"/>
  <c r="A92" i="6"/>
  <c r="AL91" i="6"/>
  <c r="B91" i="6"/>
  <c r="D91" i="6" s="1"/>
  <c r="BE91" i="6"/>
  <c r="L87" i="10"/>
  <c r="K87" i="10"/>
  <c r="R86" i="10"/>
  <c r="Q86" i="10"/>
  <c r="S86" i="10" s="1"/>
  <c r="U86" i="10"/>
  <c r="V86" i="10" s="1"/>
  <c r="X91" i="10"/>
  <c r="Z91" i="10" s="1"/>
  <c r="AA91" i="10" s="1"/>
  <c r="H88" i="10"/>
  <c r="I88" i="10" s="1"/>
  <c r="J88" i="10" s="1"/>
  <c r="AV89" i="10"/>
  <c r="AZ89" i="10" s="1"/>
  <c r="AI89" i="10"/>
  <c r="AJ89" i="10" s="1"/>
  <c r="AK89" i="10" s="1"/>
  <c r="G89" i="10"/>
  <c r="BC88" i="10"/>
  <c r="AW88" i="10"/>
  <c r="BD87" i="10"/>
  <c r="O87" i="10" s="1"/>
  <c r="P87" i="10" s="1"/>
  <c r="E90" i="10"/>
  <c r="F90" i="10" s="1"/>
  <c r="AM90" i="10" s="1"/>
  <c r="B92" i="10"/>
  <c r="D92" i="10" s="1"/>
  <c r="Y92" i="10" s="1"/>
  <c r="BG92" i="10"/>
  <c r="T92" i="10" s="1"/>
  <c r="AO91" i="10" l="1"/>
  <c r="U85" i="6"/>
  <c r="V85" i="6" s="1"/>
  <c r="R85" i="6"/>
  <c r="G88" i="6"/>
  <c r="H88" i="6" s="1"/>
  <c r="I88" i="6" s="1"/>
  <c r="J88" i="6" s="1"/>
  <c r="L88" i="6" s="1"/>
  <c r="AQ88" i="6"/>
  <c r="N89" i="10"/>
  <c r="K88" i="6"/>
  <c r="AF90" i="10"/>
  <c r="AG90" i="10" s="1"/>
  <c r="M90" i="10" s="1"/>
  <c r="AQ90" i="10"/>
  <c r="AR90" i="10" s="1"/>
  <c r="AN90" i="10"/>
  <c r="A94" i="10"/>
  <c r="AV88" i="6"/>
  <c r="AW88" i="6" s="1"/>
  <c r="AN88" i="6"/>
  <c r="E89" i="6"/>
  <c r="F89" i="6" s="1"/>
  <c r="AM89" i="6" s="1"/>
  <c r="AI88" i="6"/>
  <c r="AJ88" i="6" s="1"/>
  <c r="AK88" i="6" s="1"/>
  <c r="AW87" i="6"/>
  <c r="BC87" i="6"/>
  <c r="BD87" i="6" s="1"/>
  <c r="O87" i="6" s="1"/>
  <c r="P87" i="6" s="1"/>
  <c r="L87" i="6"/>
  <c r="K87" i="6"/>
  <c r="AF88" i="6"/>
  <c r="AG88" i="6" s="1"/>
  <c r="M88" i="6" s="1"/>
  <c r="AT92" i="6"/>
  <c r="AY92" i="6"/>
  <c r="BB92" i="6"/>
  <c r="BF91" i="6"/>
  <c r="BG91" i="6"/>
  <c r="T91" i="6" s="1"/>
  <c r="AF89" i="6"/>
  <c r="AG89" i="6" s="1"/>
  <c r="M89" i="6" s="1"/>
  <c r="AN89" i="6"/>
  <c r="Z90" i="6"/>
  <c r="AA90" i="6" s="1"/>
  <c r="AO90" i="6" s="1"/>
  <c r="AR90" i="6" s="1"/>
  <c r="U86" i="6"/>
  <c r="Q86" i="6"/>
  <c r="S86" i="6" s="1"/>
  <c r="R86" i="6"/>
  <c r="X91" i="6"/>
  <c r="Y91" i="6"/>
  <c r="A93" i="6"/>
  <c r="AL92" i="6"/>
  <c r="B92" i="6"/>
  <c r="D92" i="6" s="1"/>
  <c r="BE92" i="6"/>
  <c r="L88" i="10"/>
  <c r="K88" i="10"/>
  <c r="U87" i="10"/>
  <c r="V87" i="10" s="1"/>
  <c r="R87" i="10"/>
  <c r="Q87" i="10"/>
  <c r="S87" i="10" s="1"/>
  <c r="E91" i="10"/>
  <c r="F91" i="10" s="1"/>
  <c r="AM91" i="10" s="1"/>
  <c r="BD88" i="10"/>
  <c r="O88" i="10" s="1"/>
  <c r="P88" i="10" s="1"/>
  <c r="B93" i="10"/>
  <c r="D93" i="10" s="1"/>
  <c r="Y93" i="10" s="1"/>
  <c r="BG93" i="10"/>
  <c r="T93" i="10" s="1"/>
  <c r="H89" i="10"/>
  <c r="I89" i="10" s="1"/>
  <c r="J89" i="10" s="1"/>
  <c r="X92" i="10"/>
  <c r="Z92" i="10" s="1"/>
  <c r="AA92" i="10" s="1"/>
  <c r="G90" i="10"/>
  <c r="AV90" i="10"/>
  <c r="AZ90" i="10" s="1"/>
  <c r="AI90" i="10"/>
  <c r="AJ90" i="10" s="1"/>
  <c r="AK90" i="10" s="1"/>
  <c r="BC89" i="10"/>
  <c r="AW89" i="10"/>
  <c r="AO92" i="10" l="1"/>
  <c r="BC88" i="6"/>
  <c r="BD88" i="6" s="1"/>
  <c r="O88" i="6" s="1"/>
  <c r="N88" i="6"/>
  <c r="G89" i="6"/>
  <c r="H89" i="6" s="1"/>
  <c r="I89" i="6" s="1"/>
  <c r="J89" i="6" s="1"/>
  <c r="K89" i="6" s="1"/>
  <c r="AQ89" i="6"/>
  <c r="N90" i="10"/>
  <c r="A95" i="10"/>
  <c r="AF91" i="10"/>
  <c r="AG91" i="10" s="1"/>
  <c r="M91" i="10" s="1"/>
  <c r="AQ91" i="10"/>
  <c r="AR91" i="10" s="1"/>
  <c r="AN91" i="10"/>
  <c r="AI89" i="6"/>
  <c r="AJ89" i="6" s="1"/>
  <c r="AK89" i="6" s="1"/>
  <c r="N89" i="6" s="1"/>
  <c r="U87" i="6"/>
  <c r="V87" i="6" s="1"/>
  <c r="Q87" i="6"/>
  <c r="S87" i="6" s="1"/>
  <c r="R87" i="6"/>
  <c r="E90" i="6"/>
  <c r="F90" i="6" s="1"/>
  <c r="AM90" i="6" s="1"/>
  <c r="AV89" i="6"/>
  <c r="AW89" i="6" s="1"/>
  <c r="BF92" i="6"/>
  <c r="BG92" i="6" s="1"/>
  <c r="T92" i="6" s="1"/>
  <c r="BB93" i="6"/>
  <c r="AY93" i="6"/>
  <c r="AT93" i="6"/>
  <c r="V86" i="6"/>
  <c r="X92" i="6"/>
  <c r="Y92" i="6"/>
  <c r="Z91" i="6"/>
  <c r="AA91" i="6" s="1"/>
  <c r="AO91" i="6" s="1"/>
  <c r="AR91" i="6" s="1"/>
  <c r="A94" i="6"/>
  <c r="AL93" i="6"/>
  <c r="BE93" i="6"/>
  <c r="B93" i="6"/>
  <c r="D93" i="6" s="1"/>
  <c r="BD89" i="10"/>
  <c r="O89" i="10" s="1"/>
  <c r="P89" i="10" s="1"/>
  <c r="Q88" i="10"/>
  <c r="S88" i="10" s="1"/>
  <c r="R88" i="10"/>
  <c r="U88" i="10"/>
  <c r="V88" i="10" s="1"/>
  <c r="L89" i="10"/>
  <c r="K89" i="10"/>
  <c r="X93" i="10"/>
  <c r="Z93" i="10" s="1"/>
  <c r="AA93" i="10" s="1"/>
  <c r="BC90" i="10"/>
  <c r="AW90" i="10"/>
  <c r="H90" i="10"/>
  <c r="I90" i="10" s="1"/>
  <c r="J90" i="10" s="1"/>
  <c r="AV91" i="10"/>
  <c r="AZ91" i="10" s="1"/>
  <c r="AI91" i="10"/>
  <c r="AJ91" i="10" s="1"/>
  <c r="AK91" i="10" s="1"/>
  <c r="G91" i="10"/>
  <c r="E92" i="10"/>
  <c r="F92" i="10" s="1"/>
  <c r="AM92" i="10" s="1"/>
  <c r="B94" i="10"/>
  <c r="D94" i="10" s="1"/>
  <c r="Y94" i="10" s="1"/>
  <c r="BG94" i="10"/>
  <c r="T94" i="10" s="1"/>
  <c r="AO93" i="10" l="1"/>
  <c r="L89" i="6"/>
  <c r="P88" i="6"/>
  <c r="Q88" i="6" s="1"/>
  <c r="S88" i="6" s="1"/>
  <c r="AV90" i="6"/>
  <c r="BC90" i="6" s="1"/>
  <c r="AQ90" i="6"/>
  <c r="N91" i="10"/>
  <c r="AF92" i="10"/>
  <c r="AG92" i="10" s="1"/>
  <c r="M92" i="10" s="1"/>
  <c r="AQ92" i="10"/>
  <c r="AR92" i="10" s="1"/>
  <c r="AN92" i="10"/>
  <c r="A96" i="10"/>
  <c r="AN90" i="6"/>
  <c r="AF90" i="6"/>
  <c r="AG90" i="6" s="1"/>
  <c r="M90" i="6" s="1"/>
  <c r="AI90" i="6"/>
  <c r="AJ90" i="6" s="1"/>
  <c r="AK90" i="6" s="1"/>
  <c r="R88" i="6"/>
  <c r="G90" i="6"/>
  <c r="H90" i="6" s="1"/>
  <c r="I90" i="6" s="1"/>
  <c r="J90" i="6" s="1"/>
  <c r="K90" i="6" s="1"/>
  <c r="E91" i="6"/>
  <c r="F91" i="6" s="1"/>
  <c r="AM91" i="6" s="1"/>
  <c r="BC89" i="6"/>
  <c r="BD89" i="6" s="1"/>
  <c r="O89" i="6" s="1"/>
  <c r="P89" i="6" s="1"/>
  <c r="BF93" i="6"/>
  <c r="BG93" i="6"/>
  <c r="T93" i="6" s="1"/>
  <c r="BB94" i="6"/>
  <c r="AY94" i="6"/>
  <c r="AT94" i="6"/>
  <c r="Z92" i="6"/>
  <c r="AA92" i="6" s="1"/>
  <c r="AO92" i="6" s="1"/>
  <c r="AR92" i="6" s="1"/>
  <c r="X93" i="6"/>
  <c r="Y93" i="6"/>
  <c r="G91" i="6"/>
  <c r="H91" i="6" s="1"/>
  <c r="I91" i="6" s="1"/>
  <c r="J91" i="6" s="1"/>
  <c r="A95" i="6"/>
  <c r="AL94" i="6"/>
  <c r="B94" i="6"/>
  <c r="D94" i="6" s="1"/>
  <c r="BE94" i="6"/>
  <c r="L90" i="10"/>
  <c r="K90" i="10"/>
  <c r="B95" i="10"/>
  <c r="D95" i="10" s="1"/>
  <c r="Y95" i="10" s="1"/>
  <c r="BG95" i="10"/>
  <c r="T95" i="10" s="1"/>
  <c r="X94" i="10"/>
  <c r="Z94" i="10" s="1"/>
  <c r="AA94" i="10" s="1"/>
  <c r="G92" i="10"/>
  <c r="AV92" i="10"/>
  <c r="AZ92" i="10" s="1"/>
  <c r="AI92" i="10"/>
  <c r="AJ92" i="10" s="1"/>
  <c r="AK92" i="10" s="1"/>
  <c r="R89" i="10"/>
  <c r="Q89" i="10"/>
  <c r="S89" i="10" s="1"/>
  <c r="U89" i="10"/>
  <c r="V89" i="10" s="1"/>
  <c r="BD90" i="10"/>
  <c r="O90" i="10" s="1"/>
  <c r="P90" i="10" s="1"/>
  <c r="E93" i="10"/>
  <c r="F93" i="10" s="1"/>
  <c r="AM93" i="10" s="1"/>
  <c r="H91" i="10"/>
  <c r="I91" i="10" s="1"/>
  <c r="J91" i="10" s="1"/>
  <c r="BC91" i="10"/>
  <c r="AW91" i="10"/>
  <c r="AI91" i="6" l="1"/>
  <c r="AJ91" i="6" s="1"/>
  <c r="AK91" i="6" s="1"/>
  <c r="U88" i="6"/>
  <c r="V88" i="6" s="1"/>
  <c r="AO94" i="10"/>
  <c r="N90" i="6"/>
  <c r="AW90" i="6"/>
  <c r="BD90" i="6" s="1"/>
  <c r="O90" i="6" s="1"/>
  <c r="P90" i="6" s="1"/>
  <c r="U90" i="6" s="1"/>
  <c r="AN91" i="6"/>
  <c r="N91" i="6" s="1"/>
  <c r="AQ91" i="6"/>
  <c r="L90" i="6"/>
  <c r="N92" i="10"/>
  <c r="A97" i="10"/>
  <c r="AF93" i="10"/>
  <c r="AG93" i="10" s="1"/>
  <c r="M93" i="10" s="1"/>
  <c r="AQ93" i="10"/>
  <c r="AR93" i="10" s="1"/>
  <c r="AN93" i="10"/>
  <c r="AF91" i="6"/>
  <c r="AG91" i="6" s="1"/>
  <c r="M91" i="6" s="1"/>
  <c r="AV91" i="6"/>
  <c r="BC91" i="6" s="1"/>
  <c r="E92" i="6"/>
  <c r="F92" i="6" s="1"/>
  <c r="AM92" i="6" s="1"/>
  <c r="BF94" i="6"/>
  <c r="BG94" i="6" s="1"/>
  <c r="T94" i="6" s="1"/>
  <c r="AY95" i="6"/>
  <c r="AT95" i="6"/>
  <c r="BB95" i="6"/>
  <c r="X94" i="6"/>
  <c r="Y94" i="6"/>
  <c r="L91" i="6"/>
  <c r="K91" i="6"/>
  <c r="R89" i="6"/>
  <c r="Q89" i="6"/>
  <c r="S89" i="6" s="1"/>
  <c r="U89" i="6"/>
  <c r="V89" i="6" s="1"/>
  <c r="Z93" i="6"/>
  <c r="AA93" i="6" s="1"/>
  <c r="AO93" i="6" s="1"/>
  <c r="AR93" i="6" s="1"/>
  <c r="AN92" i="6"/>
  <c r="A96" i="6"/>
  <c r="AL95" i="6"/>
  <c r="B95" i="6"/>
  <c r="D95" i="6" s="1"/>
  <c r="BE95" i="6"/>
  <c r="BD91" i="10"/>
  <c r="O91" i="10" s="1"/>
  <c r="P91" i="10" s="1"/>
  <c r="L91" i="10"/>
  <c r="K91" i="10"/>
  <c r="U90" i="10"/>
  <c r="V90" i="10" s="1"/>
  <c r="R90" i="10"/>
  <c r="Q90" i="10"/>
  <c r="S90" i="10" s="1"/>
  <c r="E94" i="10"/>
  <c r="F94" i="10" s="1"/>
  <c r="AM94" i="10" s="1"/>
  <c r="X95" i="10"/>
  <c r="Z95" i="10" s="1"/>
  <c r="AA95" i="10" s="1"/>
  <c r="AV93" i="10"/>
  <c r="AZ93" i="10" s="1"/>
  <c r="AI93" i="10"/>
  <c r="AJ93" i="10" s="1"/>
  <c r="AK93" i="10" s="1"/>
  <c r="G93" i="10"/>
  <c r="BC92" i="10"/>
  <c r="AW92" i="10"/>
  <c r="B96" i="10"/>
  <c r="D96" i="10" s="1"/>
  <c r="Y96" i="10" s="1"/>
  <c r="BG96" i="10"/>
  <c r="T96" i="10" s="1"/>
  <c r="H92" i="10"/>
  <c r="I92" i="10" s="1"/>
  <c r="J92" i="10" s="1"/>
  <c r="V90" i="6" l="1"/>
  <c r="AO95" i="10"/>
  <c r="AF92" i="6"/>
  <c r="AG92" i="6" s="1"/>
  <c r="M92" i="6" s="1"/>
  <c r="AQ92" i="6"/>
  <c r="N93" i="10"/>
  <c r="AF94" i="10"/>
  <c r="AG94" i="10" s="1"/>
  <c r="M94" i="10" s="1"/>
  <c r="AQ94" i="10"/>
  <c r="AR94" i="10" s="1"/>
  <c r="AN94" i="10"/>
  <c r="A98" i="10"/>
  <c r="BF95" i="6"/>
  <c r="BG95" i="6" s="1"/>
  <c r="T95" i="6" s="1"/>
  <c r="AV92" i="6"/>
  <c r="AW92" i="6" s="1"/>
  <c r="AW91" i="6"/>
  <c r="BD91" i="6" s="1"/>
  <c r="O91" i="6" s="1"/>
  <c r="P91" i="6" s="1"/>
  <c r="AI92" i="6"/>
  <c r="AJ92" i="6" s="1"/>
  <c r="AK92" i="6" s="1"/>
  <c r="N92" i="6" s="1"/>
  <c r="G92" i="6"/>
  <c r="H92" i="6" s="1"/>
  <c r="I92" i="6" s="1"/>
  <c r="J92" i="6" s="1"/>
  <c r="L92" i="6" s="1"/>
  <c r="E93" i="6"/>
  <c r="F93" i="6" s="1"/>
  <c r="AM93" i="6" s="1"/>
  <c r="R90" i="6"/>
  <c r="BB96" i="6"/>
  <c r="AY96" i="6"/>
  <c r="AT96" i="6"/>
  <c r="Q90" i="6"/>
  <c r="S90" i="6" s="1"/>
  <c r="Z94" i="6"/>
  <c r="AA94" i="6" s="1"/>
  <c r="AO94" i="6" s="1"/>
  <c r="X95" i="6"/>
  <c r="Y95" i="6"/>
  <c r="A97" i="6"/>
  <c r="AL96" i="6"/>
  <c r="B96" i="6"/>
  <c r="D96" i="6" s="1"/>
  <c r="BE96" i="6"/>
  <c r="L92" i="10"/>
  <c r="K92" i="10"/>
  <c r="AV94" i="10"/>
  <c r="AZ94" i="10" s="1"/>
  <c r="AI94" i="10"/>
  <c r="AJ94" i="10" s="1"/>
  <c r="AK94" i="10" s="1"/>
  <c r="G94" i="10"/>
  <c r="X96" i="10"/>
  <c r="Z96" i="10" s="1"/>
  <c r="AA96" i="10" s="1"/>
  <c r="E95" i="10"/>
  <c r="F95" i="10" s="1"/>
  <c r="AM95" i="10" s="1"/>
  <c r="BD92" i="10"/>
  <c r="O92" i="10" s="1"/>
  <c r="P92" i="10" s="1"/>
  <c r="H93" i="10"/>
  <c r="I93" i="10" s="1"/>
  <c r="J93" i="10" s="1"/>
  <c r="R91" i="10"/>
  <c r="Q91" i="10"/>
  <c r="S91" i="10" s="1"/>
  <c r="U91" i="10"/>
  <c r="V91" i="10" s="1"/>
  <c r="B97" i="10"/>
  <c r="D97" i="10" s="1"/>
  <c r="Y97" i="10" s="1"/>
  <c r="BG97" i="10"/>
  <c r="T97" i="10" s="1"/>
  <c r="BC93" i="10"/>
  <c r="AW93" i="10"/>
  <c r="AO96" i="10" l="1"/>
  <c r="AV93" i="6"/>
  <c r="AW93" i="6" s="1"/>
  <c r="AF93" i="6"/>
  <c r="AG93" i="6" s="1"/>
  <c r="M93" i="6" s="1"/>
  <c r="AI93" i="6"/>
  <c r="AJ93" i="6" s="1"/>
  <c r="AK93" i="6" s="1"/>
  <c r="AN93" i="6"/>
  <c r="G93" i="6"/>
  <c r="H93" i="6" s="1"/>
  <c r="I93" i="6" s="1"/>
  <c r="J93" i="6" s="1"/>
  <c r="L93" i="6" s="1"/>
  <c r="AQ93" i="6"/>
  <c r="BC92" i="6"/>
  <c r="BD92" i="6" s="1"/>
  <c r="O92" i="6" s="1"/>
  <c r="P92" i="6" s="1"/>
  <c r="N94" i="10"/>
  <c r="A99" i="10"/>
  <c r="AF95" i="10"/>
  <c r="AG95" i="10" s="1"/>
  <c r="M95" i="10" s="1"/>
  <c r="AQ95" i="10"/>
  <c r="AR95" i="10" s="1"/>
  <c r="AN95" i="10"/>
  <c r="K92" i="6"/>
  <c r="E94" i="6"/>
  <c r="F94" i="6" s="1"/>
  <c r="AM94" i="6" s="1"/>
  <c r="AT97" i="6"/>
  <c r="BB97" i="6"/>
  <c r="AY97" i="6"/>
  <c r="BF96" i="6"/>
  <c r="BG96" i="6" s="1"/>
  <c r="T96" i="6" s="1"/>
  <c r="X96" i="6"/>
  <c r="Y96" i="6"/>
  <c r="U91" i="6"/>
  <c r="V91" i="6" s="1"/>
  <c r="R91" i="6"/>
  <c r="Q91" i="6"/>
  <c r="S91" i="6" s="1"/>
  <c r="Z95" i="6"/>
  <c r="AA95" i="6" s="1"/>
  <c r="AO95" i="6" s="1"/>
  <c r="A98" i="6"/>
  <c r="AL97" i="6"/>
  <c r="B97" i="6"/>
  <c r="D97" i="6" s="1"/>
  <c r="BE97" i="6"/>
  <c r="BD93" i="10"/>
  <c r="O93" i="10" s="1"/>
  <c r="P93" i="10" s="1"/>
  <c r="L93" i="10"/>
  <c r="K93" i="10"/>
  <c r="H94" i="10"/>
  <c r="I94" i="10" s="1"/>
  <c r="J94" i="10" s="1"/>
  <c r="AV95" i="10"/>
  <c r="AZ95" i="10" s="1"/>
  <c r="G95" i="10"/>
  <c r="AI95" i="10"/>
  <c r="AJ95" i="10" s="1"/>
  <c r="AK95" i="10" s="1"/>
  <c r="X97" i="10"/>
  <c r="Z97" i="10" s="1"/>
  <c r="AA97" i="10" s="1"/>
  <c r="BC94" i="10"/>
  <c r="AW94" i="10"/>
  <c r="U92" i="10"/>
  <c r="V92" i="10" s="1"/>
  <c r="R92" i="10"/>
  <c r="Q92" i="10"/>
  <c r="S92" i="10" s="1"/>
  <c r="B98" i="10"/>
  <c r="D98" i="10" s="1"/>
  <c r="Y98" i="10" s="1"/>
  <c r="BG98" i="10"/>
  <c r="T98" i="10" s="1"/>
  <c r="E96" i="10"/>
  <c r="F96" i="10" s="1"/>
  <c r="AM96" i="10" s="1"/>
  <c r="N93" i="6" l="1"/>
  <c r="BC93" i="6"/>
  <c r="BD93" i="6" s="1"/>
  <c r="O93" i="6" s="1"/>
  <c r="P93" i="6" s="1"/>
  <c r="U93" i="6" s="1"/>
  <c r="AO97" i="10"/>
  <c r="K93" i="6"/>
  <c r="AF94" i="6"/>
  <c r="AG94" i="6" s="1"/>
  <c r="M94" i="6" s="1"/>
  <c r="AV94" i="6"/>
  <c r="BC94" i="6" s="1"/>
  <c r="AQ94" i="6"/>
  <c r="AR94" i="6" s="1"/>
  <c r="AN94" i="6"/>
  <c r="N95" i="10"/>
  <c r="AF96" i="10"/>
  <c r="AG96" i="10" s="1"/>
  <c r="M96" i="10" s="1"/>
  <c r="AQ96" i="10"/>
  <c r="AR96" i="10" s="1"/>
  <c r="AN96" i="10"/>
  <c r="A100" i="10"/>
  <c r="G94" i="6"/>
  <c r="H94" i="6" s="1"/>
  <c r="I94" i="6" s="1"/>
  <c r="J94" i="6" s="1"/>
  <c r="K94" i="6" s="1"/>
  <c r="AI94" i="6"/>
  <c r="AJ94" i="6" s="1"/>
  <c r="AK94" i="6" s="1"/>
  <c r="E95" i="6"/>
  <c r="F95" i="6" s="1"/>
  <c r="AT98" i="6"/>
  <c r="BB98" i="6"/>
  <c r="AY98" i="6"/>
  <c r="BF97" i="6"/>
  <c r="BG97" i="6" s="1"/>
  <c r="T97" i="6" s="1"/>
  <c r="X97" i="6"/>
  <c r="Y97" i="6"/>
  <c r="Z96" i="6"/>
  <c r="AA96" i="6" s="1"/>
  <c r="AO96" i="6" s="1"/>
  <c r="Q92" i="6"/>
  <c r="S92" i="6" s="1"/>
  <c r="U92" i="6"/>
  <c r="V92" i="6" s="1"/>
  <c r="R92" i="6"/>
  <c r="A99" i="6"/>
  <c r="AL98" i="6"/>
  <c r="B98" i="6"/>
  <c r="D98" i="6" s="1"/>
  <c r="BE98" i="6"/>
  <c r="L94" i="10"/>
  <c r="K94" i="10"/>
  <c r="H95" i="10"/>
  <c r="I95" i="10" s="1"/>
  <c r="J95" i="10" s="1"/>
  <c r="X98" i="10"/>
  <c r="Z98" i="10" s="1"/>
  <c r="AA98" i="10" s="1"/>
  <c r="BC95" i="10"/>
  <c r="AW95" i="10"/>
  <c r="E97" i="10"/>
  <c r="F97" i="10" s="1"/>
  <c r="AM97" i="10" s="1"/>
  <c r="R93" i="10"/>
  <c r="Q93" i="10"/>
  <c r="S93" i="10" s="1"/>
  <c r="U93" i="10"/>
  <c r="V93" i="10" s="1"/>
  <c r="B99" i="10"/>
  <c r="D99" i="10" s="1"/>
  <c r="Y99" i="10" s="1"/>
  <c r="BG99" i="10"/>
  <c r="T99" i="10" s="1"/>
  <c r="AV96" i="10"/>
  <c r="AZ96" i="10" s="1"/>
  <c r="AI96" i="10"/>
  <c r="AJ96" i="10" s="1"/>
  <c r="AK96" i="10" s="1"/>
  <c r="G96" i="10"/>
  <c r="BD94" i="10"/>
  <c r="O94" i="10" s="1"/>
  <c r="P94" i="10" s="1"/>
  <c r="AM95" i="6" l="1"/>
  <c r="AN95" i="6" s="1"/>
  <c r="AO98" i="10"/>
  <c r="AW94" i="6"/>
  <c r="N94" i="6"/>
  <c r="G95" i="6"/>
  <c r="H95" i="6" s="1"/>
  <c r="I95" i="6" s="1"/>
  <c r="J95" i="6" s="1"/>
  <c r="AI95" i="6"/>
  <c r="AJ95" i="6" s="1"/>
  <c r="AK95" i="6" s="1"/>
  <c r="N96" i="10"/>
  <c r="AV95" i="6"/>
  <c r="AW95" i="6" s="1"/>
  <c r="AQ95" i="6"/>
  <c r="AR95" i="6" s="1"/>
  <c r="A101" i="10"/>
  <c r="AF97" i="10"/>
  <c r="AG97" i="10" s="1"/>
  <c r="M97" i="10" s="1"/>
  <c r="AQ97" i="10"/>
  <c r="AR97" i="10" s="1"/>
  <c r="AN97" i="10"/>
  <c r="L94" i="6"/>
  <c r="AF95" i="6"/>
  <c r="AG95" i="6" s="1"/>
  <c r="M95" i="6" s="1"/>
  <c r="E96" i="6"/>
  <c r="F96" i="6" s="1"/>
  <c r="AM96" i="6" s="1"/>
  <c r="V93" i="6"/>
  <c r="Q93" i="6"/>
  <c r="S93" i="6" s="1"/>
  <c r="AY99" i="6"/>
  <c r="AT99" i="6"/>
  <c r="BB99" i="6"/>
  <c r="R93" i="6"/>
  <c r="BF98" i="6"/>
  <c r="BG98" i="6" s="1"/>
  <c r="T98" i="6" s="1"/>
  <c r="X98" i="6"/>
  <c r="Y98" i="6"/>
  <c r="L95" i="6"/>
  <c r="K95" i="6"/>
  <c r="BD94" i="6"/>
  <c r="O94" i="6" s="1"/>
  <c r="Z97" i="6"/>
  <c r="AA97" i="6" s="1"/>
  <c r="AO97" i="6" s="1"/>
  <c r="A100" i="6"/>
  <c r="AL99" i="6"/>
  <c r="BE99" i="6"/>
  <c r="B99" i="6"/>
  <c r="D99" i="6" s="1"/>
  <c r="L95" i="10"/>
  <c r="K95" i="10"/>
  <c r="BC96" i="10"/>
  <c r="AW96" i="10"/>
  <c r="BG100" i="10"/>
  <c r="T100" i="10" s="1"/>
  <c r="B100" i="10"/>
  <c r="D100" i="10" s="1"/>
  <c r="Y100" i="10" s="1"/>
  <c r="E98" i="10"/>
  <c r="F98" i="10" s="1"/>
  <c r="AM98" i="10" s="1"/>
  <c r="X99" i="10"/>
  <c r="Z99" i="10" s="1"/>
  <c r="AA99" i="10" s="1"/>
  <c r="H96" i="10"/>
  <c r="I96" i="10" s="1"/>
  <c r="J96" i="10" s="1"/>
  <c r="Q94" i="10"/>
  <c r="S94" i="10" s="1"/>
  <c r="U94" i="10"/>
  <c r="V94" i="10" s="1"/>
  <c r="R94" i="10"/>
  <c r="BD95" i="10"/>
  <c r="O95" i="10" s="1"/>
  <c r="P95" i="10" s="1"/>
  <c r="AV97" i="10"/>
  <c r="AZ97" i="10" s="1"/>
  <c r="G97" i="10"/>
  <c r="AI97" i="10"/>
  <c r="AJ97" i="10" s="1"/>
  <c r="AK97" i="10" s="1"/>
  <c r="AO99" i="10" l="1"/>
  <c r="BC95" i="6"/>
  <c r="BD95" i="6" s="1"/>
  <c r="O95" i="6" s="1"/>
  <c r="N95" i="6"/>
  <c r="P94" i="6"/>
  <c r="Q94" i="6" s="1"/>
  <c r="S94" i="6" s="1"/>
  <c r="AI96" i="6"/>
  <c r="AJ96" i="6" s="1"/>
  <c r="AK96" i="6" s="1"/>
  <c r="AQ96" i="6"/>
  <c r="AR96" i="6" s="1"/>
  <c r="AN96" i="6"/>
  <c r="G96" i="6"/>
  <c r="H96" i="6" s="1"/>
  <c r="I96" i="6" s="1"/>
  <c r="J96" i="6" s="1"/>
  <c r="L96" i="6" s="1"/>
  <c r="AF96" i="6"/>
  <c r="AG96" i="6" s="1"/>
  <c r="M96" i="6" s="1"/>
  <c r="N97" i="10"/>
  <c r="A102" i="10"/>
  <c r="AF98" i="10"/>
  <c r="AG98" i="10" s="1"/>
  <c r="M98" i="10" s="1"/>
  <c r="AQ98" i="10"/>
  <c r="AR98" i="10" s="1"/>
  <c r="AN98" i="10"/>
  <c r="AV96" i="6"/>
  <c r="BC96" i="6" s="1"/>
  <c r="E97" i="6"/>
  <c r="F97" i="6" s="1"/>
  <c r="AM97" i="6" s="1"/>
  <c r="BF99" i="6"/>
  <c r="BG99" i="6" s="1"/>
  <c r="T99" i="6" s="1"/>
  <c r="BB100" i="6"/>
  <c r="AT100" i="6"/>
  <c r="AY100" i="6"/>
  <c r="X99" i="6"/>
  <c r="Y99" i="6"/>
  <c r="Z98" i="6"/>
  <c r="AA98" i="6" s="1"/>
  <c r="AO98" i="6" s="1"/>
  <c r="U94" i="6"/>
  <c r="V94" i="6" s="1"/>
  <c r="R94" i="6"/>
  <c r="A101" i="6"/>
  <c r="AL100" i="6"/>
  <c r="BE100" i="6"/>
  <c r="B100" i="6"/>
  <c r="D100" i="6" s="1"/>
  <c r="U95" i="10"/>
  <c r="V95" i="10" s="1"/>
  <c r="R95" i="10"/>
  <c r="Q95" i="10"/>
  <c r="S95" i="10" s="1"/>
  <c r="H97" i="10"/>
  <c r="I97" i="10" s="1"/>
  <c r="J97" i="10" s="1"/>
  <c r="BC97" i="10"/>
  <c r="AW97" i="10"/>
  <c r="BD96" i="10"/>
  <c r="O96" i="10" s="1"/>
  <c r="P96" i="10" s="1"/>
  <c r="X100" i="10"/>
  <c r="Z100" i="10" s="1"/>
  <c r="AA100" i="10" s="1"/>
  <c r="L96" i="10"/>
  <c r="K96" i="10"/>
  <c r="AV98" i="10"/>
  <c r="AZ98" i="10" s="1"/>
  <c r="AI98" i="10"/>
  <c r="AJ98" i="10" s="1"/>
  <c r="AK98" i="10" s="1"/>
  <c r="G98" i="10"/>
  <c r="BG101" i="10"/>
  <c r="T101" i="10" s="1"/>
  <c r="B101" i="10"/>
  <c r="D101" i="10" s="1"/>
  <c r="Y101" i="10" s="1"/>
  <c r="E99" i="10"/>
  <c r="F99" i="10" s="1"/>
  <c r="AM99" i="10" s="1"/>
  <c r="N98" i="10" l="1"/>
  <c r="AO100" i="10"/>
  <c r="P95" i="6"/>
  <c r="R95" i="6" s="1"/>
  <c r="AN97" i="6"/>
  <c r="AW96" i="6"/>
  <c r="BD96" i="6" s="1"/>
  <c r="O96" i="6" s="1"/>
  <c r="AV97" i="6"/>
  <c r="BC97" i="6" s="1"/>
  <c r="AI97" i="6"/>
  <c r="AJ97" i="6" s="1"/>
  <c r="AK97" i="6" s="1"/>
  <c r="K96" i="6"/>
  <c r="AF97" i="6"/>
  <c r="AG97" i="6" s="1"/>
  <c r="M97" i="6" s="1"/>
  <c r="AQ97" i="6"/>
  <c r="AR97" i="6" s="1"/>
  <c r="N96" i="6"/>
  <c r="AF99" i="10"/>
  <c r="AG99" i="10" s="1"/>
  <c r="M99" i="10" s="1"/>
  <c r="AQ99" i="10"/>
  <c r="AR99" i="10" s="1"/>
  <c r="AN99" i="10"/>
  <c r="A103" i="10"/>
  <c r="U95" i="6"/>
  <c r="V95" i="6" s="1"/>
  <c r="Q95" i="6"/>
  <c r="S95" i="6" s="1"/>
  <c r="G97" i="6"/>
  <c r="H97" i="6" s="1"/>
  <c r="I97" i="6" s="1"/>
  <c r="J97" i="6" s="1"/>
  <c r="L97" i="6" s="1"/>
  <c r="E98" i="6"/>
  <c r="F98" i="6" s="1"/>
  <c r="AM98" i="6" s="1"/>
  <c r="AT101" i="6"/>
  <c r="BB101" i="6"/>
  <c r="AY101" i="6"/>
  <c r="BF100" i="6"/>
  <c r="BG100" i="6" s="1"/>
  <c r="T100" i="6" s="1"/>
  <c r="X100" i="6"/>
  <c r="Y100" i="6"/>
  <c r="Z99" i="6"/>
  <c r="AA99" i="6" s="1"/>
  <c r="AO99" i="6" s="1"/>
  <c r="A102" i="6"/>
  <c r="AL101" i="6"/>
  <c r="BE101" i="6"/>
  <c r="B101" i="6"/>
  <c r="D101" i="6" s="1"/>
  <c r="Q96" i="10"/>
  <c r="S96" i="10" s="1"/>
  <c r="U96" i="10"/>
  <c r="V96" i="10" s="1"/>
  <c r="R96" i="10"/>
  <c r="L97" i="10"/>
  <c r="K97" i="10"/>
  <c r="E100" i="10"/>
  <c r="F100" i="10" s="1"/>
  <c r="AM100" i="10" s="1"/>
  <c r="H98" i="10"/>
  <c r="I98" i="10" s="1"/>
  <c r="J98" i="10" s="1"/>
  <c r="X101" i="10"/>
  <c r="Z101" i="10" s="1"/>
  <c r="AA101" i="10" s="1"/>
  <c r="BG102" i="10"/>
  <c r="T102" i="10" s="1"/>
  <c r="B102" i="10"/>
  <c r="D102" i="10" s="1"/>
  <c r="Y102" i="10" s="1"/>
  <c r="BD97" i="10"/>
  <c r="O97" i="10" s="1"/>
  <c r="P97" i="10" s="1"/>
  <c r="BC98" i="10"/>
  <c r="AW98" i="10"/>
  <c r="AI99" i="10"/>
  <c r="AJ99" i="10" s="1"/>
  <c r="AK99" i="10" s="1"/>
  <c r="AV99" i="10"/>
  <c r="AZ99" i="10" s="1"/>
  <c r="G99" i="10"/>
  <c r="AO101" i="10" l="1"/>
  <c r="AW97" i="6"/>
  <c r="AQ98" i="6"/>
  <c r="AR98" i="6" s="1"/>
  <c r="N97" i="6"/>
  <c r="P96" i="6"/>
  <c r="AF98" i="6"/>
  <c r="AG98" i="6" s="1"/>
  <c r="M98" i="6" s="1"/>
  <c r="AN98" i="6"/>
  <c r="AV98" i="6"/>
  <c r="BC98" i="6" s="1"/>
  <c r="G98" i="6"/>
  <c r="H98" i="6" s="1"/>
  <c r="I98" i="6" s="1"/>
  <c r="J98" i="6" s="1"/>
  <c r="K98" i="6" s="1"/>
  <c r="AI98" i="6"/>
  <c r="AJ98" i="6" s="1"/>
  <c r="AK98" i="6" s="1"/>
  <c r="K97" i="6"/>
  <c r="N99" i="10"/>
  <c r="A104" i="10"/>
  <c r="AF100" i="10"/>
  <c r="AG100" i="10" s="1"/>
  <c r="M100" i="10" s="1"/>
  <c r="AQ100" i="10"/>
  <c r="AR100" i="10" s="1"/>
  <c r="AN100" i="10"/>
  <c r="E99" i="6"/>
  <c r="F99" i="6" s="1"/>
  <c r="AM99" i="6" s="1"/>
  <c r="BF101" i="6"/>
  <c r="BG101" i="6" s="1"/>
  <c r="T101" i="6" s="1"/>
  <c r="AT102" i="6"/>
  <c r="BB102" i="6"/>
  <c r="AY102" i="6"/>
  <c r="Z100" i="6"/>
  <c r="AA100" i="6" s="1"/>
  <c r="AO100" i="6" s="1"/>
  <c r="X101" i="6"/>
  <c r="Y101" i="6"/>
  <c r="BD97" i="6"/>
  <c r="O97" i="6" s="1"/>
  <c r="P97" i="6" s="1"/>
  <c r="U96" i="6"/>
  <c r="V96" i="6" s="1"/>
  <c r="R96" i="6"/>
  <c r="Q96" i="6"/>
  <c r="S96" i="6" s="1"/>
  <c r="A103" i="6"/>
  <c r="AL102" i="6"/>
  <c r="BE102" i="6"/>
  <c r="B102" i="6"/>
  <c r="D102" i="6" s="1"/>
  <c r="L98" i="10"/>
  <c r="K98" i="10"/>
  <c r="U97" i="10"/>
  <c r="V97" i="10" s="1"/>
  <c r="R97" i="10"/>
  <c r="Q97" i="10"/>
  <c r="S97" i="10" s="1"/>
  <c r="BD98" i="10"/>
  <c r="O98" i="10" s="1"/>
  <c r="P98" i="10" s="1"/>
  <c r="BG103" i="10"/>
  <c r="T103" i="10" s="1"/>
  <c r="B103" i="10"/>
  <c r="D103" i="10" s="1"/>
  <c r="Y103" i="10" s="1"/>
  <c r="BC99" i="10"/>
  <c r="AW99" i="10"/>
  <c r="AI100" i="10"/>
  <c r="AJ100" i="10" s="1"/>
  <c r="AK100" i="10" s="1"/>
  <c r="AV100" i="10"/>
  <c r="AZ100" i="10" s="1"/>
  <c r="G100" i="10"/>
  <c r="X102" i="10"/>
  <c r="Z102" i="10" s="1"/>
  <c r="AA102" i="10" s="1"/>
  <c r="H99" i="10"/>
  <c r="I99" i="10" s="1"/>
  <c r="J99" i="10" s="1"/>
  <c r="E101" i="10"/>
  <c r="F101" i="10" s="1"/>
  <c r="AM101" i="10" s="1"/>
  <c r="AO102" i="10" l="1"/>
  <c r="N98" i="6"/>
  <c r="G99" i="6"/>
  <c r="H99" i="6" s="1"/>
  <c r="I99" i="6" s="1"/>
  <c r="J99" i="6" s="1"/>
  <c r="L99" i="6" s="1"/>
  <c r="L98" i="6"/>
  <c r="AW98" i="6"/>
  <c r="AI99" i="6"/>
  <c r="AJ99" i="6" s="1"/>
  <c r="AK99" i="6" s="1"/>
  <c r="AN99" i="6"/>
  <c r="AQ99" i="6"/>
  <c r="N100" i="10"/>
  <c r="AF101" i="10"/>
  <c r="AG101" i="10" s="1"/>
  <c r="M101" i="10" s="1"/>
  <c r="AQ101" i="10"/>
  <c r="AR101" i="10" s="1"/>
  <c r="AN101" i="10"/>
  <c r="A105" i="10"/>
  <c r="E100" i="6"/>
  <c r="F100" i="6" s="1"/>
  <c r="AM100" i="6" s="1"/>
  <c r="AV99" i="6"/>
  <c r="AW99" i="6" s="1"/>
  <c r="AF99" i="6"/>
  <c r="AG99" i="6" s="1"/>
  <c r="M99" i="6" s="1"/>
  <c r="AT103" i="6"/>
  <c r="BB103" i="6"/>
  <c r="AY103" i="6"/>
  <c r="BF102" i="6"/>
  <c r="BG102" i="6" s="1"/>
  <c r="T102" i="6" s="1"/>
  <c r="X102" i="6"/>
  <c r="Y102" i="6"/>
  <c r="R97" i="6"/>
  <c r="Q97" i="6"/>
  <c r="S97" i="6" s="1"/>
  <c r="U97" i="6"/>
  <c r="V97" i="6" s="1"/>
  <c r="BD98" i="6"/>
  <c r="O98" i="6" s="1"/>
  <c r="Z101" i="6"/>
  <c r="AA101" i="6" s="1"/>
  <c r="AO101" i="6" s="1"/>
  <c r="A104" i="6"/>
  <c r="AL103" i="6"/>
  <c r="BE103" i="6"/>
  <c r="B103" i="6"/>
  <c r="D103" i="6" s="1"/>
  <c r="L99" i="10"/>
  <c r="K99" i="10"/>
  <c r="U98" i="10"/>
  <c r="V98" i="10" s="1"/>
  <c r="Q98" i="10"/>
  <c r="S98" i="10" s="1"/>
  <c r="R98" i="10"/>
  <c r="E102" i="10"/>
  <c r="F102" i="10" s="1"/>
  <c r="AM102" i="10" s="1"/>
  <c r="X103" i="10"/>
  <c r="Z103" i="10" s="1"/>
  <c r="AA103" i="10" s="1"/>
  <c r="H100" i="10"/>
  <c r="I100" i="10" s="1"/>
  <c r="J100" i="10" s="1"/>
  <c r="AI101" i="10"/>
  <c r="AJ101" i="10" s="1"/>
  <c r="AK101" i="10" s="1"/>
  <c r="AV101" i="10"/>
  <c r="AZ101" i="10" s="1"/>
  <c r="G101" i="10"/>
  <c r="BG104" i="10"/>
  <c r="T104" i="10" s="1"/>
  <c r="B104" i="10"/>
  <c r="D104" i="10" s="1"/>
  <c r="Y104" i="10" s="1"/>
  <c r="BC100" i="10"/>
  <c r="AW100" i="10"/>
  <c r="BD99" i="10"/>
  <c r="O99" i="10" s="1"/>
  <c r="P99" i="10" s="1"/>
  <c r="K99" i="6" l="1"/>
  <c r="P98" i="6"/>
  <c r="U98" i="6" s="1"/>
  <c r="V98" i="6" s="1"/>
  <c r="AO103" i="10"/>
  <c r="AN100" i="6"/>
  <c r="AR99" i="6"/>
  <c r="N99" i="6" s="1"/>
  <c r="G100" i="6"/>
  <c r="H100" i="6" s="1"/>
  <c r="I100" i="6" s="1"/>
  <c r="J100" i="6" s="1"/>
  <c r="L100" i="6" s="1"/>
  <c r="AQ100" i="6"/>
  <c r="AR100" i="6" s="1"/>
  <c r="AF100" i="6"/>
  <c r="AG100" i="6" s="1"/>
  <c r="M100" i="6" s="1"/>
  <c r="N101" i="10"/>
  <c r="AF102" i="10"/>
  <c r="AG102" i="10" s="1"/>
  <c r="M102" i="10" s="1"/>
  <c r="AQ102" i="10"/>
  <c r="AR102" i="10" s="1"/>
  <c r="AN102" i="10"/>
  <c r="A106" i="10"/>
  <c r="AV100" i="6"/>
  <c r="AW100" i="6" s="1"/>
  <c r="AI100" i="6"/>
  <c r="AJ100" i="6" s="1"/>
  <c r="AK100" i="6" s="1"/>
  <c r="BC99" i="6"/>
  <c r="BD99" i="6" s="1"/>
  <c r="O99" i="6" s="1"/>
  <c r="E101" i="6"/>
  <c r="F101" i="6" s="1"/>
  <c r="AM101" i="6" s="1"/>
  <c r="AT104" i="6"/>
  <c r="BB104" i="6"/>
  <c r="AY104" i="6"/>
  <c r="BF103" i="6"/>
  <c r="BG103" i="6" s="1"/>
  <c r="T103" i="6" s="1"/>
  <c r="X103" i="6"/>
  <c r="Y103" i="6"/>
  <c r="Z102" i="6"/>
  <c r="AA102" i="6" s="1"/>
  <c r="AO102" i="6" s="1"/>
  <c r="A105" i="6"/>
  <c r="AL104" i="6"/>
  <c r="B104" i="6"/>
  <c r="D104" i="6" s="1"/>
  <c r="BE104" i="6"/>
  <c r="L100" i="10"/>
  <c r="K100" i="10"/>
  <c r="AI102" i="10"/>
  <c r="AJ102" i="10" s="1"/>
  <c r="AK102" i="10" s="1"/>
  <c r="AV102" i="10"/>
  <c r="AZ102" i="10" s="1"/>
  <c r="G102" i="10"/>
  <c r="H101" i="10"/>
  <c r="I101" i="10" s="1"/>
  <c r="J101" i="10" s="1"/>
  <c r="X104" i="10"/>
  <c r="Z104" i="10" s="1"/>
  <c r="AA104" i="10" s="1"/>
  <c r="BC101" i="10"/>
  <c r="AW101" i="10"/>
  <c r="BD100" i="10"/>
  <c r="O100" i="10" s="1"/>
  <c r="P100" i="10" s="1"/>
  <c r="BG105" i="10"/>
  <c r="T105" i="10" s="1"/>
  <c r="B105" i="10"/>
  <c r="D105" i="10" s="1"/>
  <c r="Y105" i="10" s="1"/>
  <c r="U99" i="10"/>
  <c r="V99" i="10" s="1"/>
  <c r="R99" i="10"/>
  <c r="Q99" i="10"/>
  <c r="S99" i="10" s="1"/>
  <c r="E103" i="10"/>
  <c r="F103" i="10" s="1"/>
  <c r="AM103" i="10" s="1"/>
  <c r="Q98" i="6" l="1"/>
  <c r="S98" i="6" s="1"/>
  <c r="R98" i="6"/>
  <c r="AO104" i="10"/>
  <c r="N102" i="10"/>
  <c r="G101" i="6"/>
  <c r="H101" i="6" s="1"/>
  <c r="I101" i="6" s="1"/>
  <c r="J101" i="6" s="1"/>
  <c r="K101" i="6" s="1"/>
  <c r="P99" i="6"/>
  <c r="U99" i="6" s="1"/>
  <c r="V99" i="6" s="1"/>
  <c r="K100" i="6"/>
  <c r="AI101" i="6"/>
  <c r="AJ101" i="6" s="1"/>
  <c r="AK101" i="6" s="1"/>
  <c r="AF101" i="6"/>
  <c r="AG101" i="6" s="1"/>
  <c r="M101" i="6" s="1"/>
  <c r="N100" i="6"/>
  <c r="BC100" i="6"/>
  <c r="BD100" i="6" s="1"/>
  <c r="O100" i="6" s="1"/>
  <c r="AV101" i="6"/>
  <c r="AW101" i="6" s="1"/>
  <c r="AQ101" i="6"/>
  <c r="AR101" i="6" s="1"/>
  <c r="AF103" i="10"/>
  <c r="AG103" i="10" s="1"/>
  <c r="M103" i="10" s="1"/>
  <c r="AQ103" i="10"/>
  <c r="AR103" i="10" s="1"/>
  <c r="AN103" i="10"/>
  <c r="A107" i="10"/>
  <c r="AN101" i="6"/>
  <c r="E102" i="6"/>
  <c r="F102" i="6" s="1"/>
  <c r="AM102" i="6" s="1"/>
  <c r="BF104" i="6"/>
  <c r="BG104" i="6" s="1"/>
  <c r="T104" i="6" s="1"/>
  <c r="BB105" i="6"/>
  <c r="AY105" i="6"/>
  <c r="AT105" i="6"/>
  <c r="X104" i="6"/>
  <c r="Y104" i="6"/>
  <c r="Z103" i="6"/>
  <c r="AA103" i="6" s="1"/>
  <c r="AO103" i="6" s="1"/>
  <c r="A106" i="6"/>
  <c r="AL105" i="6"/>
  <c r="BE105" i="6"/>
  <c r="B105" i="6"/>
  <c r="D105" i="6" s="1"/>
  <c r="Q100" i="10"/>
  <c r="S100" i="10" s="1"/>
  <c r="R100" i="10"/>
  <c r="U100" i="10"/>
  <c r="V100" i="10" s="1"/>
  <c r="L101" i="10"/>
  <c r="K101" i="10"/>
  <c r="BG106" i="10"/>
  <c r="T106" i="10" s="1"/>
  <c r="B106" i="10"/>
  <c r="D106" i="10" s="1"/>
  <c r="Y106" i="10" s="1"/>
  <c r="BC102" i="10"/>
  <c r="AW102" i="10"/>
  <c r="AV103" i="10"/>
  <c r="AZ103" i="10" s="1"/>
  <c r="AI103" i="10"/>
  <c r="AJ103" i="10" s="1"/>
  <c r="AK103" i="10" s="1"/>
  <c r="G103" i="10"/>
  <c r="X105" i="10"/>
  <c r="Z105" i="10" s="1"/>
  <c r="AA105" i="10" s="1"/>
  <c r="E104" i="10"/>
  <c r="F104" i="10" s="1"/>
  <c r="AM104" i="10" s="1"/>
  <c r="H102" i="10"/>
  <c r="I102" i="10" s="1"/>
  <c r="J102" i="10" s="1"/>
  <c r="BD101" i="10"/>
  <c r="O101" i="10" s="1"/>
  <c r="P101" i="10" s="1"/>
  <c r="Q99" i="6" l="1"/>
  <c r="S99" i="6" s="1"/>
  <c r="R99" i="6"/>
  <c r="L101" i="6"/>
  <c r="AO105" i="10"/>
  <c r="BC101" i="6"/>
  <c r="AI102" i="6"/>
  <c r="AJ102" i="6" s="1"/>
  <c r="AK102" i="6" s="1"/>
  <c r="P100" i="6"/>
  <c r="R100" i="6" s="1"/>
  <c r="N101" i="6"/>
  <c r="G102" i="6"/>
  <c r="H102" i="6" s="1"/>
  <c r="I102" i="6" s="1"/>
  <c r="J102" i="6" s="1"/>
  <c r="L102" i="6" s="1"/>
  <c r="AF102" i="6"/>
  <c r="AG102" i="6" s="1"/>
  <c r="M102" i="6" s="1"/>
  <c r="AQ102" i="6"/>
  <c r="AR102" i="6" s="1"/>
  <c r="N103" i="10"/>
  <c r="AF104" i="10"/>
  <c r="AG104" i="10" s="1"/>
  <c r="M104" i="10" s="1"/>
  <c r="AQ104" i="10"/>
  <c r="AR104" i="10" s="1"/>
  <c r="AN104" i="10"/>
  <c r="A108" i="10"/>
  <c r="AV102" i="6"/>
  <c r="AN102" i="6"/>
  <c r="E103" i="6"/>
  <c r="F103" i="6" s="1"/>
  <c r="AM103" i="6" s="1"/>
  <c r="AY106" i="6"/>
  <c r="AT106" i="6"/>
  <c r="BB106" i="6"/>
  <c r="BF105" i="6"/>
  <c r="BG105" i="6" s="1"/>
  <c r="T105" i="6" s="1"/>
  <c r="Z104" i="6"/>
  <c r="AA104" i="6" s="1"/>
  <c r="AO104" i="6" s="1"/>
  <c r="X105" i="6"/>
  <c r="Y105" i="6"/>
  <c r="BD101" i="6"/>
  <c r="O101" i="6" s="1"/>
  <c r="BC102" i="6"/>
  <c r="AW102" i="6"/>
  <c r="A107" i="6"/>
  <c r="AL106" i="6"/>
  <c r="BE106" i="6"/>
  <c r="B106" i="6"/>
  <c r="D106" i="6" s="1"/>
  <c r="BD102" i="10"/>
  <c r="O102" i="10" s="1"/>
  <c r="P102" i="10" s="1"/>
  <c r="L102" i="10"/>
  <c r="K102" i="10"/>
  <c r="E105" i="10"/>
  <c r="F105" i="10" s="1"/>
  <c r="AM105" i="10" s="1"/>
  <c r="X106" i="10"/>
  <c r="Z106" i="10" s="1"/>
  <c r="AA106" i="10" s="1"/>
  <c r="B107" i="10"/>
  <c r="D107" i="10" s="1"/>
  <c r="Y107" i="10" s="1"/>
  <c r="BG107" i="10"/>
  <c r="T107" i="10" s="1"/>
  <c r="G104" i="10"/>
  <c r="AV104" i="10"/>
  <c r="AZ104" i="10" s="1"/>
  <c r="AI104" i="10"/>
  <c r="AJ104" i="10" s="1"/>
  <c r="AK104" i="10" s="1"/>
  <c r="H103" i="10"/>
  <c r="I103" i="10" s="1"/>
  <c r="J103" i="10" s="1"/>
  <c r="U101" i="10"/>
  <c r="V101" i="10" s="1"/>
  <c r="R101" i="10"/>
  <c r="Q101" i="10"/>
  <c r="S101" i="10" s="1"/>
  <c r="BC103" i="10"/>
  <c r="AW103" i="10"/>
  <c r="AO106" i="10" l="1"/>
  <c r="P101" i="6"/>
  <c r="AF103" i="6"/>
  <c r="AG103" i="6" s="1"/>
  <c r="M103" i="6" s="1"/>
  <c r="U100" i="6"/>
  <c r="V100" i="6" s="1"/>
  <c r="K102" i="6"/>
  <c r="Q100" i="6"/>
  <c r="S100" i="6" s="1"/>
  <c r="AN103" i="6"/>
  <c r="G103" i="6"/>
  <c r="H103" i="6" s="1"/>
  <c r="I103" i="6" s="1"/>
  <c r="J103" i="6" s="1"/>
  <c r="K103" i="6" s="1"/>
  <c r="N102" i="6"/>
  <c r="AI103" i="6"/>
  <c r="AJ103" i="6" s="1"/>
  <c r="AK103" i="6" s="1"/>
  <c r="BF106" i="6"/>
  <c r="BG106" i="6" s="1"/>
  <c r="T106" i="6" s="1"/>
  <c r="AV103" i="6"/>
  <c r="BC103" i="6" s="1"/>
  <c r="AQ103" i="6"/>
  <c r="N104" i="10"/>
  <c r="A109" i="10"/>
  <c r="AF105" i="10"/>
  <c r="AG105" i="10" s="1"/>
  <c r="M105" i="10" s="1"/>
  <c r="AQ105" i="10"/>
  <c r="AR105" i="10" s="1"/>
  <c r="AN105" i="10"/>
  <c r="E104" i="6"/>
  <c r="F104" i="6" s="1"/>
  <c r="AM104" i="6" s="1"/>
  <c r="AT107" i="6"/>
  <c r="AY107" i="6"/>
  <c r="BB107" i="6"/>
  <c r="Q101" i="6"/>
  <c r="S101" i="6" s="1"/>
  <c r="U101" i="6"/>
  <c r="R101" i="6"/>
  <c r="X106" i="6"/>
  <c r="Y106" i="6"/>
  <c r="Z105" i="6"/>
  <c r="AA105" i="6" s="1"/>
  <c r="AO105" i="6" s="1"/>
  <c r="BD102" i="6"/>
  <c r="O102" i="6" s="1"/>
  <c r="P102" i="6" s="1"/>
  <c r="A108" i="6"/>
  <c r="AL107" i="6"/>
  <c r="BE107" i="6"/>
  <c r="B107" i="6"/>
  <c r="D107" i="6" s="1"/>
  <c r="BD103" i="10"/>
  <c r="O103" i="10" s="1"/>
  <c r="P103" i="10" s="1"/>
  <c r="X107" i="10"/>
  <c r="Z107" i="10" s="1"/>
  <c r="AA107" i="10" s="1"/>
  <c r="E106" i="10"/>
  <c r="F106" i="10" s="1"/>
  <c r="AM106" i="10" s="1"/>
  <c r="L103" i="10"/>
  <c r="K103" i="10"/>
  <c r="R102" i="10"/>
  <c r="Q102" i="10"/>
  <c r="S102" i="10" s="1"/>
  <c r="U102" i="10"/>
  <c r="V102" i="10" s="1"/>
  <c r="B108" i="10"/>
  <c r="D108" i="10" s="1"/>
  <c r="Y108" i="10" s="1"/>
  <c r="BG108" i="10"/>
  <c r="T108" i="10" s="1"/>
  <c r="AI105" i="10"/>
  <c r="AJ105" i="10" s="1"/>
  <c r="AK105" i="10" s="1"/>
  <c r="G105" i="10"/>
  <c r="AV105" i="10"/>
  <c r="AZ105" i="10" s="1"/>
  <c r="BC104" i="10"/>
  <c r="AW104" i="10"/>
  <c r="H104" i="10"/>
  <c r="I104" i="10" s="1"/>
  <c r="J104" i="10" s="1"/>
  <c r="V101" i="6" l="1"/>
  <c r="AO107" i="10"/>
  <c r="L103" i="6"/>
  <c r="AR103" i="6"/>
  <c r="N103" i="6" s="1"/>
  <c r="AQ104" i="6"/>
  <c r="AR104" i="6" s="1"/>
  <c r="AN104" i="6"/>
  <c r="AW103" i="6"/>
  <c r="BD103" i="6" s="1"/>
  <c r="O103" i="6" s="1"/>
  <c r="P103" i="6" s="1"/>
  <c r="AF104" i="6"/>
  <c r="AG104" i="6" s="1"/>
  <c r="M104" i="6" s="1"/>
  <c r="AI104" i="6"/>
  <c r="AJ104" i="6" s="1"/>
  <c r="AK104" i="6" s="1"/>
  <c r="AV104" i="6"/>
  <c r="BC104" i="6" s="1"/>
  <c r="G104" i="6"/>
  <c r="H104" i="6" s="1"/>
  <c r="I104" i="6" s="1"/>
  <c r="J104" i="6" s="1"/>
  <c r="L104" i="6" s="1"/>
  <c r="N105" i="10"/>
  <c r="AF106" i="10"/>
  <c r="AG106" i="10" s="1"/>
  <c r="M106" i="10" s="1"/>
  <c r="AQ106" i="10"/>
  <c r="AR106" i="10" s="1"/>
  <c r="AN106" i="10"/>
  <c r="A110" i="10"/>
  <c r="E105" i="6"/>
  <c r="F105" i="6" s="1"/>
  <c r="BF107" i="6"/>
  <c r="BG107" i="6" s="1"/>
  <c r="T107" i="6" s="1"/>
  <c r="AY108" i="6"/>
  <c r="AT108" i="6"/>
  <c r="BB108" i="6"/>
  <c r="BF108" i="6" s="1"/>
  <c r="Z106" i="6"/>
  <c r="AA106" i="6" s="1"/>
  <c r="AO106" i="6" s="1"/>
  <c r="X107" i="6"/>
  <c r="Y107" i="6"/>
  <c r="U102" i="6"/>
  <c r="V102" i="6" s="1"/>
  <c r="Q102" i="6"/>
  <c r="S102" i="6" s="1"/>
  <c r="R102" i="6"/>
  <c r="A109" i="6"/>
  <c r="AL108" i="6"/>
  <c r="BE108" i="6"/>
  <c r="B108" i="6"/>
  <c r="D108" i="6" s="1"/>
  <c r="L104" i="10"/>
  <c r="K104" i="10"/>
  <c r="BC105" i="10"/>
  <c r="AW105" i="10"/>
  <c r="AV106" i="10"/>
  <c r="AZ106" i="10" s="1"/>
  <c r="G106" i="10"/>
  <c r="AI106" i="10"/>
  <c r="AJ106" i="10" s="1"/>
  <c r="AK106" i="10" s="1"/>
  <c r="BD104" i="10"/>
  <c r="O104" i="10" s="1"/>
  <c r="P104" i="10" s="1"/>
  <c r="R103" i="10"/>
  <c r="U103" i="10"/>
  <c r="V103" i="10" s="1"/>
  <c r="Q103" i="10"/>
  <c r="S103" i="10" s="1"/>
  <c r="X108" i="10"/>
  <c r="Z108" i="10" s="1"/>
  <c r="AA108" i="10" s="1"/>
  <c r="H105" i="10"/>
  <c r="I105" i="10" s="1"/>
  <c r="J105" i="10" s="1"/>
  <c r="B109" i="10"/>
  <c r="D109" i="10" s="1"/>
  <c r="Y109" i="10" s="1"/>
  <c r="BG109" i="10"/>
  <c r="T109" i="10" s="1"/>
  <c r="E107" i="10"/>
  <c r="F107" i="10" s="1"/>
  <c r="AM107" i="10" s="1"/>
  <c r="G105" i="6" l="1"/>
  <c r="H105" i="6" s="1"/>
  <c r="I105" i="6" s="1"/>
  <c r="J105" i="6" s="1"/>
  <c r="L105" i="6" s="1"/>
  <c r="AM105" i="6"/>
  <c r="AO108" i="10"/>
  <c r="AW104" i="6"/>
  <c r="AF105" i="6"/>
  <c r="AG105" i="6" s="1"/>
  <c r="M105" i="6" s="1"/>
  <c r="N104" i="6"/>
  <c r="AQ105" i="6"/>
  <c r="AR105" i="6" s="1"/>
  <c r="K104" i="6"/>
  <c r="AV105" i="6"/>
  <c r="BC105" i="6" s="1"/>
  <c r="AN105" i="6"/>
  <c r="AI105" i="6"/>
  <c r="AJ105" i="6" s="1"/>
  <c r="AK105" i="6" s="1"/>
  <c r="N106" i="10"/>
  <c r="AF107" i="10"/>
  <c r="AG107" i="10" s="1"/>
  <c r="M107" i="10" s="1"/>
  <c r="AQ107" i="10"/>
  <c r="AR107" i="10" s="1"/>
  <c r="AN107" i="10"/>
  <c r="A111" i="10"/>
  <c r="BD104" i="6"/>
  <c r="O104" i="6" s="1"/>
  <c r="P104" i="6" s="1"/>
  <c r="U104" i="6" s="1"/>
  <c r="E106" i="6"/>
  <c r="F106" i="6" s="1"/>
  <c r="AM106" i="6" s="1"/>
  <c r="BG108" i="6"/>
  <c r="T108" i="6" s="1"/>
  <c r="BB109" i="6"/>
  <c r="AT109" i="6"/>
  <c r="AY109" i="6"/>
  <c r="Q103" i="6"/>
  <c r="S103" i="6" s="1"/>
  <c r="U103" i="6"/>
  <c r="V103" i="6" s="1"/>
  <c r="R103" i="6"/>
  <c r="Z107" i="6"/>
  <c r="AA107" i="6" s="1"/>
  <c r="AO107" i="6" s="1"/>
  <c r="X108" i="6"/>
  <c r="Y108" i="6"/>
  <c r="A110" i="6"/>
  <c r="AL109" i="6"/>
  <c r="B109" i="6"/>
  <c r="D109" i="6" s="1"/>
  <c r="BE109" i="6"/>
  <c r="R104" i="10"/>
  <c r="Q104" i="10"/>
  <c r="S104" i="10" s="1"/>
  <c r="U104" i="10"/>
  <c r="V104" i="10" s="1"/>
  <c r="AV107" i="10"/>
  <c r="AZ107" i="10" s="1"/>
  <c r="AI107" i="10"/>
  <c r="AJ107" i="10" s="1"/>
  <c r="AK107" i="10" s="1"/>
  <c r="G107" i="10"/>
  <c r="B110" i="10"/>
  <c r="D110" i="10" s="1"/>
  <c r="Y110" i="10" s="1"/>
  <c r="BG110" i="10"/>
  <c r="T110" i="10" s="1"/>
  <c r="X109" i="10"/>
  <c r="Z109" i="10" s="1"/>
  <c r="AA109" i="10" s="1"/>
  <c r="H106" i="10"/>
  <c r="I106" i="10" s="1"/>
  <c r="J106" i="10" s="1"/>
  <c r="L105" i="10"/>
  <c r="K105" i="10"/>
  <c r="BC106" i="10"/>
  <c r="AW106" i="10"/>
  <c r="E108" i="10"/>
  <c r="F108" i="10" s="1"/>
  <c r="AM108" i="10" s="1"/>
  <c r="BD105" i="10"/>
  <c r="O105" i="10" s="1"/>
  <c r="P105" i="10" s="1"/>
  <c r="K105" i="6" l="1"/>
  <c r="N107" i="10"/>
  <c r="AO109" i="10"/>
  <c r="AW105" i="6"/>
  <c r="N105" i="6"/>
  <c r="AV106" i="6"/>
  <c r="AW106" i="6" s="1"/>
  <c r="AQ106" i="6"/>
  <c r="AR106" i="6" s="1"/>
  <c r="AN106" i="6"/>
  <c r="A112" i="10"/>
  <c r="AF108" i="10"/>
  <c r="AG108" i="10" s="1"/>
  <c r="M108" i="10" s="1"/>
  <c r="AQ108" i="10"/>
  <c r="AR108" i="10" s="1"/>
  <c r="AN108" i="10"/>
  <c r="AF106" i="6"/>
  <c r="AG106" i="6" s="1"/>
  <c r="M106" i="6" s="1"/>
  <c r="G106" i="6"/>
  <c r="H106" i="6" s="1"/>
  <c r="I106" i="6" s="1"/>
  <c r="J106" i="6" s="1"/>
  <c r="K106" i="6" s="1"/>
  <c r="E107" i="6"/>
  <c r="F107" i="6" s="1"/>
  <c r="AM107" i="6" s="1"/>
  <c r="AI106" i="6"/>
  <c r="AJ106" i="6" s="1"/>
  <c r="AK106" i="6" s="1"/>
  <c r="BB110" i="6"/>
  <c r="AT110" i="6"/>
  <c r="AY110" i="6"/>
  <c r="V104" i="6"/>
  <c r="BF109" i="6"/>
  <c r="BG109" i="6" s="1"/>
  <c r="T109" i="6" s="1"/>
  <c r="R104" i="6"/>
  <c r="Q104" i="6"/>
  <c r="S104" i="6" s="1"/>
  <c r="Z108" i="6"/>
  <c r="AA108" i="6" s="1"/>
  <c r="AO108" i="6" s="1"/>
  <c r="BD105" i="6"/>
  <c r="O105" i="6" s="1"/>
  <c r="X109" i="6"/>
  <c r="Y109" i="6"/>
  <c r="A111" i="6"/>
  <c r="AL110" i="6"/>
  <c r="B110" i="6"/>
  <c r="D110" i="6" s="1"/>
  <c r="BE110" i="6"/>
  <c r="AV108" i="10"/>
  <c r="AZ108" i="10" s="1"/>
  <c r="G108" i="10"/>
  <c r="AI108" i="10"/>
  <c r="AJ108" i="10" s="1"/>
  <c r="AK108" i="10" s="1"/>
  <c r="E109" i="10"/>
  <c r="F109" i="10" s="1"/>
  <c r="AM109" i="10" s="1"/>
  <c r="R105" i="10"/>
  <c r="U105" i="10"/>
  <c r="V105" i="10" s="1"/>
  <c r="Q105" i="10"/>
  <c r="S105" i="10" s="1"/>
  <c r="H107" i="10"/>
  <c r="I107" i="10" s="1"/>
  <c r="J107" i="10" s="1"/>
  <c r="BC107" i="10"/>
  <c r="AW107" i="10"/>
  <c r="L106" i="10"/>
  <c r="K106" i="10"/>
  <c r="X110" i="10"/>
  <c r="Z110" i="10" s="1"/>
  <c r="AA110" i="10" s="1"/>
  <c r="BD106" i="10"/>
  <c r="O106" i="10" s="1"/>
  <c r="P106" i="10" s="1"/>
  <c r="B111" i="10"/>
  <c r="D111" i="10" s="1"/>
  <c r="Y111" i="10" s="1"/>
  <c r="BG111" i="10"/>
  <c r="T111" i="10" s="1"/>
  <c r="P105" i="6" l="1"/>
  <c r="BC106" i="6"/>
  <c r="AO110" i="10"/>
  <c r="N106" i="6"/>
  <c r="AI107" i="6"/>
  <c r="AJ107" i="6" s="1"/>
  <c r="AK107" i="6" s="1"/>
  <c r="AQ107" i="6"/>
  <c r="AR107" i="6" s="1"/>
  <c r="N108" i="10"/>
  <c r="L106" i="6"/>
  <c r="AF109" i="10"/>
  <c r="AG109" i="10" s="1"/>
  <c r="M109" i="10" s="1"/>
  <c r="AQ109" i="10"/>
  <c r="AR109" i="10" s="1"/>
  <c r="AN109" i="10"/>
  <c r="A113" i="10"/>
  <c r="G107" i="6"/>
  <c r="H107" i="6" s="1"/>
  <c r="I107" i="6" s="1"/>
  <c r="J107" i="6" s="1"/>
  <c r="K107" i="6" s="1"/>
  <c r="BD106" i="6"/>
  <c r="O106" i="6" s="1"/>
  <c r="P106" i="6" s="1"/>
  <c r="E108" i="6"/>
  <c r="F108" i="6" s="1"/>
  <c r="AF107" i="6"/>
  <c r="AG107" i="6" s="1"/>
  <c r="M107" i="6" s="1"/>
  <c r="AV107" i="6"/>
  <c r="AW107" i="6" s="1"/>
  <c r="AN107" i="6"/>
  <c r="AT111" i="6"/>
  <c r="BB111" i="6"/>
  <c r="AY111" i="6"/>
  <c r="BF110" i="6"/>
  <c r="BG110" i="6" s="1"/>
  <c r="T110" i="6" s="1"/>
  <c r="Z109" i="6"/>
  <c r="AA109" i="6" s="1"/>
  <c r="AO109" i="6" s="1"/>
  <c r="Q105" i="6"/>
  <c r="S105" i="6" s="1"/>
  <c r="R105" i="6"/>
  <c r="U105" i="6"/>
  <c r="V105" i="6" s="1"/>
  <c r="X110" i="6"/>
  <c r="Y110" i="6"/>
  <c r="A112" i="6"/>
  <c r="AL111" i="6"/>
  <c r="B111" i="6"/>
  <c r="D111" i="6" s="1"/>
  <c r="BE111" i="6"/>
  <c r="BD107" i="10"/>
  <c r="O107" i="10" s="1"/>
  <c r="P107" i="10" s="1"/>
  <c r="Q106" i="10"/>
  <c r="S106" i="10" s="1"/>
  <c r="U106" i="10"/>
  <c r="V106" i="10" s="1"/>
  <c r="R106" i="10"/>
  <c r="E110" i="10"/>
  <c r="F110" i="10" s="1"/>
  <c r="AM110" i="10" s="1"/>
  <c r="L107" i="10"/>
  <c r="K107" i="10"/>
  <c r="H108" i="10"/>
  <c r="I108" i="10" s="1"/>
  <c r="J108" i="10" s="1"/>
  <c r="B112" i="10"/>
  <c r="D112" i="10" s="1"/>
  <c r="Y112" i="10" s="1"/>
  <c r="BG112" i="10"/>
  <c r="T112" i="10" s="1"/>
  <c r="X111" i="10"/>
  <c r="Z111" i="10" s="1"/>
  <c r="AA111" i="10" s="1"/>
  <c r="AV109" i="10"/>
  <c r="AZ109" i="10" s="1"/>
  <c r="AI109" i="10"/>
  <c r="AJ109" i="10" s="1"/>
  <c r="AK109" i="10" s="1"/>
  <c r="G109" i="10"/>
  <c r="BC108" i="10"/>
  <c r="AW108" i="10"/>
  <c r="AV108" i="6" l="1"/>
  <c r="AW108" i="6" s="1"/>
  <c r="AM108" i="6"/>
  <c r="AO111" i="10"/>
  <c r="AQ108" i="6"/>
  <c r="AR108" i="6" s="1"/>
  <c r="AF108" i="6"/>
  <c r="AG108" i="6" s="1"/>
  <c r="M108" i="6" s="1"/>
  <c r="AI108" i="6"/>
  <c r="AJ108" i="6" s="1"/>
  <c r="AK108" i="6" s="1"/>
  <c r="BC107" i="6"/>
  <c r="BD107" i="6" s="1"/>
  <c r="O107" i="6" s="1"/>
  <c r="N107" i="6"/>
  <c r="L107" i="6"/>
  <c r="N109" i="10"/>
  <c r="AF110" i="10"/>
  <c r="AG110" i="10" s="1"/>
  <c r="M110" i="10" s="1"/>
  <c r="AQ110" i="10"/>
  <c r="AR110" i="10" s="1"/>
  <c r="AN110" i="10"/>
  <c r="A114" i="10"/>
  <c r="E109" i="6"/>
  <c r="F109" i="6" s="1"/>
  <c r="AM109" i="6" s="1"/>
  <c r="AN108" i="6"/>
  <c r="G108" i="6"/>
  <c r="H108" i="6" s="1"/>
  <c r="I108" i="6" s="1"/>
  <c r="J108" i="6" s="1"/>
  <c r="AY112" i="6"/>
  <c r="AT112" i="6"/>
  <c r="BB112" i="6"/>
  <c r="BF111" i="6"/>
  <c r="BG111" i="6" s="1"/>
  <c r="T111" i="6" s="1"/>
  <c r="X111" i="6"/>
  <c r="Y111" i="6"/>
  <c r="Z110" i="6"/>
  <c r="AA110" i="6" s="1"/>
  <c r="AO110" i="6" s="1"/>
  <c r="Q106" i="6"/>
  <c r="S106" i="6" s="1"/>
  <c r="R106" i="6"/>
  <c r="U106" i="6"/>
  <c r="V106" i="6" s="1"/>
  <c r="A113" i="6"/>
  <c r="AL112" i="6"/>
  <c r="B112" i="6"/>
  <c r="D112" i="6" s="1"/>
  <c r="BE112" i="6"/>
  <c r="L108" i="10"/>
  <c r="K108" i="10"/>
  <c r="BD108" i="10"/>
  <c r="O108" i="10" s="1"/>
  <c r="P108" i="10" s="1"/>
  <c r="H109" i="10"/>
  <c r="I109" i="10" s="1"/>
  <c r="J109" i="10" s="1"/>
  <c r="BC109" i="10"/>
  <c r="AW109" i="10"/>
  <c r="E111" i="10"/>
  <c r="F111" i="10" s="1"/>
  <c r="AM111" i="10" s="1"/>
  <c r="Q107" i="10"/>
  <c r="S107" i="10" s="1"/>
  <c r="R107" i="10"/>
  <c r="U107" i="10"/>
  <c r="V107" i="10" s="1"/>
  <c r="X112" i="10"/>
  <c r="Z112" i="10" s="1"/>
  <c r="AA112" i="10" s="1"/>
  <c r="AV110" i="10"/>
  <c r="AZ110" i="10" s="1"/>
  <c r="AI110" i="10"/>
  <c r="AJ110" i="10" s="1"/>
  <c r="AK110" i="10" s="1"/>
  <c r="G110" i="10"/>
  <c r="BG113" i="10"/>
  <c r="T113" i="10" s="1"/>
  <c r="B113" i="10"/>
  <c r="D113" i="10" s="1"/>
  <c r="Y113" i="10" s="1"/>
  <c r="BC108" i="6" l="1"/>
  <c r="N110" i="10"/>
  <c r="AO112" i="10"/>
  <c r="P107" i="6"/>
  <c r="R107" i="6" s="1"/>
  <c r="N108" i="6"/>
  <c r="AN109" i="6"/>
  <c r="G109" i="6"/>
  <c r="H109" i="6" s="1"/>
  <c r="I109" i="6" s="1"/>
  <c r="J109" i="6" s="1"/>
  <c r="K109" i="6" s="1"/>
  <c r="AQ109" i="6"/>
  <c r="AR109" i="6" s="1"/>
  <c r="AF111" i="10"/>
  <c r="AG111" i="10" s="1"/>
  <c r="M111" i="10" s="1"/>
  <c r="AQ111" i="10"/>
  <c r="AR111" i="10" s="1"/>
  <c r="AN111" i="10"/>
  <c r="A115" i="10"/>
  <c r="AI109" i="6"/>
  <c r="AJ109" i="6" s="1"/>
  <c r="AK109" i="6" s="1"/>
  <c r="AV109" i="6"/>
  <c r="BC109" i="6" s="1"/>
  <c r="AF109" i="6"/>
  <c r="AG109" i="6" s="1"/>
  <c r="M109" i="6" s="1"/>
  <c r="BD108" i="6"/>
  <c r="O108" i="6" s="1"/>
  <c r="P108" i="6" s="1"/>
  <c r="U108" i="6" s="1"/>
  <c r="L108" i="6"/>
  <c r="K108" i="6"/>
  <c r="E110" i="6"/>
  <c r="F110" i="6" s="1"/>
  <c r="AM110" i="6" s="1"/>
  <c r="BF112" i="6"/>
  <c r="BG112" i="6" s="1"/>
  <c r="T112" i="6" s="1"/>
  <c r="AT113" i="6"/>
  <c r="BB113" i="6"/>
  <c r="AY113" i="6"/>
  <c r="X112" i="6"/>
  <c r="Y112" i="6"/>
  <c r="Z111" i="6"/>
  <c r="AA111" i="6" s="1"/>
  <c r="AO111" i="6" s="1"/>
  <c r="A114" i="6"/>
  <c r="AL113" i="6"/>
  <c r="B113" i="6"/>
  <c r="D113" i="6" s="1"/>
  <c r="BE113" i="6"/>
  <c r="K109" i="10"/>
  <c r="L109" i="10"/>
  <c r="R108" i="10"/>
  <c r="Q108" i="10"/>
  <c r="S108" i="10" s="1"/>
  <c r="U108" i="10"/>
  <c r="V108" i="10" s="1"/>
  <c r="E112" i="10"/>
  <c r="F112" i="10" s="1"/>
  <c r="AM112" i="10" s="1"/>
  <c r="H110" i="10"/>
  <c r="I110" i="10" s="1"/>
  <c r="J110" i="10" s="1"/>
  <c r="BC110" i="10"/>
  <c r="AW110" i="10"/>
  <c r="BG114" i="10"/>
  <c r="T114" i="10" s="1"/>
  <c r="B114" i="10"/>
  <c r="D114" i="10" s="1"/>
  <c r="Y114" i="10" s="1"/>
  <c r="AV111" i="10"/>
  <c r="AZ111" i="10" s="1"/>
  <c r="AI111" i="10"/>
  <c r="AJ111" i="10" s="1"/>
  <c r="AK111" i="10" s="1"/>
  <c r="G111" i="10"/>
  <c r="BD109" i="10"/>
  <c r="O109" i="10" s="1"/>
  <c r="P109" i="10" s="1"/>
  <c r="X113" i="10"/>
  <c r="Z113" i="10" s="1"/>
  <c r="AA113" i="10" s="1"/>
  <c r="Q107" i="6" l="1"/>
  <c r="S107" i="6" s="1"/>
  <c r="U107" i="6"/>
  <c r="V107" i="6" s="1"/>
  <c r="AO113" i="10"/>
  <c r="L109" i="6"/>
  <c r="N109" i="6"/>
  <c r="AW109" i="6"/>
  <c r="BD109" i="6" s="1"/>
  <c r="O109" i="6" s="1"/>
  <c r="P109" i="6" s="1"/>
  <c r="AI110" i="6"/>
  <c r="AJ110" i="6" s="1"/>
  <c r="AK110" i="6" s="1"/>
  <c r="AQ110" i="6"/>
  <c r="AR110" i="6" s="1"/>
  <c r="V108" i="6"/>
  <c r="Q108" i="6"/>
  <c r="S108" i="6" s="1"/>
  <c r="N111" i="10"/>
  <c r="A116" i="10"/>
  <c r="AF112" i="10"/>
  <c r="AG112" i="10" s="1"/>
  <c r="M112" i="10" s="1"/>
  <c r="AQ112" i="10"/>
  <c r="AR112" i="10" s="1"/>
  <c r="AN112" i="10"/>
  <c r="R108" i="6"/>
  <c r="AV110" i="6"/>
  <c r="BC110" i="6" s="1"/>
  <c r="E111" i="6"/>
  <c r="F111" i="6" s="1"/>
  <c r="AM111" i="6" s="1"/>
  <c r="AF110" i="6"/>
  <c r="AG110" i="6" s="1"/>
  <c r="M110" i="6" s="1"/>
  <c r="G110" i="6"/>
  <c r="H110" i="6" s="1"/>
  <c r="I110" i="6" s="1"/>
  <c r="J110" i="6" s="1"/>
  <c r="L110" i="6" s="1"/>
  <c r="AN110" i="6"/>
  <c r="AY114" i="6"/>
  <c r="AT114" i="6"/>
  <c r="BB114" i="6"/>
  <c r="BF113" i="6"/>
  <c r="BG113" i="6" s="1"/>
  <c r="T113" i="6" s="1"/>
  <c r="Z112" i="6"/>
  <c r="AA112" i="6" s="1"/>
  <c r="AO112" i="6" s="1"/>
  <c r="X113" i="6"/>
  <c r="Y113" i="6"/>
  <c r="A115" i="6"/>
  <c r="AL114" i="6"/>
  <c r="B114" i="6"/>
  <c r="D114" i="6" s="1"/>
  <c r="BE114" i="6"/>
  <c r="Q109" i="10"/>
  <c r="S109" i="10" s="1"/>
  <c r="R109" i="10"/>
  <c r="U109" i="10"/>
  <c r="V109" i="10" s="1"/>
  <c r="E113" i="10"/>
  <c r="F113" i="10" s="1"/>
  <c r="AM113" i="10" s="1"/>
  <c r="L110" i="10"/>
  <c r="K110" i="10"/>
  <c r="H111" i="10"/>
  <c r="I111" i="10" s="1"/>
  <c r="J111" i="10" s="1"/>
  <c r="AV112" i="10"/>
  <c r="AZ112" i="10" s="1"/>
  <c r="AI112" i="10"/>
  <c r="AJ112" i="10" s="1"/>
  <c r="AK112" i="10" s="1"/>
  <c r="G112" i="10"/>
  <c r="BC111" i="10"/>
  <c r="AW111" i="10"/>
  <c r="BG115" i="10"/>
  <c r="T115" i="10" s="1"/>
  <c r="B115" i="10"/>
  <c r="D115" i="10" s="1"/>
  <c r="Y115" i="10" s="1"/>
  <c r="X114" i="10"/>
  <c r="Z114" i="10" s="1"/>
  <c r="AA114" i="10" s="1"/>
  <c r="BD110" i="10"/>
  <c r="O110" i="10" s="1"/>
  <c r="P110" i="10" s="1"/>
  <c r="AO114" i="10" l="1"/>
  <c r="R109" i="6"/>
  <c r="Q109" i="6"/>
  <c r="S109" i="6" s="1"/>
  <c r="AF111" i="6"/>
  <c r="AG111" i="6" s="1"/>
  <c r="M111" i="6" s="1"/>
  <c r="AQ111" i="6"/>
  <c r="AR111" i="6" s="1"/>
  <c r="N110" i="6"/>
  <c r="U109" i="6"/>
  <c r="V109" i="6" s="1"/>
  <c r="N112" i="10"/>
  <c r="AF113" i="10"/>
  <c r="AG113" i="10" s="1"/>
  <c r="M113" i="10" s="1"/>
  <c r="AQ113" i="10"/>
  <c r="AR113" i="10" s="1"/>
  <c r="AN113" i="10"/>
  <c r="A117" i="10"/>
  <c r="AW110" i="6"/>
  <c r="BD110" i="6" s="1"/>
  <c r="O110" i="6" s="1"/>
  <c r="G111" i="6"/>
  <c r="H111" i="6" s="1"/>
  <c r="I111" i="6" s="1"/>
  <c r="J111" i="6" s="1"/>
  <c r="K111" i="6" s="1"/>
  <c r="AN111" i="6"/>
  <c r="AV111" i="6"/>
  <c r="BC111" i="6" s="1"/>
  <c r="AI111" i="6"/>
  <c r="AJ111" i="6" s="1"/>
  <c r="AK111" i="6" s="1"/>
  <c r="E112" i="6"/>
  <c r="F112" i="6" s="1"/>
  <c r="AM112" i="6" s="1"/>
  <c r="K110" i="6"/>
  <c r="BF114" i="6"/>
  <c r="BG114" i="6" s="1"/>
  <c r="T114" i="6" s="1"/>
  <c r="AY115" i="6"/>
  <c r="AT115" i="6"/>
  <c r="BB115" i="6"/>
  <c r="X114" i="6"/>
  <c r="Y114" i="6"/>
  <c r="Z113" i="6"/>
  <c r="AA113" i="6" s="1"/>
  <c r="AO113" i="6" s="1"/>
  <c r="A116" i="6"/>
  <c r="AL115" i="6"/>
  <c r="BE115" i="6"/>
  <c r="B115" i="6"/>
  <c r="D115" i="6" s="1"/>
  <c r="U110" i="10"/>
  <c r="V110" i="10" s="1"/>
  <c r="R110" i="10"/>
  <c r="Q110" i="10"/>
  <c r="S110" i="10" s="1"/>
  <c r="L111" i="10"/>
  <c r="K111" i="10"/>
  <c r="X115" i="10"/>
  <c r="Z115" i="10" s="1"/>
  <c r="AA115" i="10" s="1"/>
  <c r="BG116" i="10"/>
  <c r="T116" i="10" s="1"/>
  <c r="B116" i="10"/>
  <c r="D116" i="10" s="1"/>
  <c r="Y116" i="10" s="1"/>
  <c r="H112" i="10"/>
  <c r="I112" i="10" s="1"/>
  <c r="J112" i="10" s="1"/>
  <c r="BC112" i="10"/>
  <c r="AW112" i="10"/>
  <c r="E114" i="10"/>
  <c r="F114" i="10" s="1"/>
  <c r="AM114" i="10" s="1"/>
  <c r="AI113" i="10"/>
  <c r="AJ113" i="10" s="1"/>
  <c r="AK113" i="10" s="1"/>
  <c r="AV113" i="10"/>
  <c r="AZ113" i="10" s="1"/>
  <c r="G113" i="10"/>
  <c r="BD111" i="10"/>
  <c r="O111" i="10" s="1"/>
  <c r="P111" i="10" s="1"/>
  <c r="AO115" i="10" l="1"/>
  <c r="N113" i="10"/>
  <c r="AW111" i="6"/>
  <c r="BD111" i="6" s="1"/>
  <c r="O111" i="6" s="1"/>
  <c r="AF112" i="6"/>
  <c r="AG112" i="6" s="1"/>
  <c r="M112" i="6" s="1"/>
  <c r="G112" i="6"/>
  <c r="H112" i="6" s="1"/>
  <c r="I112" i="6" s="1"/>
  <c r="J112" i="6" s="1"/>
  <c r="K112" i="6" s="1"/>
  <c r="N111" i="6"/>
  <c r="P110" i="6"/>
  <c r="U110" i="6" s="1"/>
  <c r="V110" i="6" s="1"/>
  <c r="AI112" i="6"/>
  <c r="AJ112" i="6" s="1"/>
  <c r="AK112" i="6" s="1"/>
  <c r="AQ112" i="6"/>
  <c r="AR112" i="6" s="1"/>
  <c r="A118" i="10"/>
  <c r="AF114" i="10"/>
  <c r="AG114" i="10" s="1"/>
  <c r="M114" i="10" s="1"/>
  <c r="AQ114" i="10"/>
  <c r="AR114" i="10" s="1"/>
  <c r="AN114" i="10"/>
  <c r="L111" i="6"/>
  <c r="AN112" i="6"/>
  <c r="AV112" i="6"/>
  <c r="BC112" i="6" s="1"/>
  <c r="E113" i="6"/>
  <c r="F113" i="6" s="1"/>
  <c r="AM113" i="6" s="1"/>
  <c r="BF115" i="6"/>
  <c r="BG115" i="6" s="1"/>
  <c r="T115" i="6" s="1"/>
  <c r="AT116" i="6"/>
  <c r="AY116" i="6"/>
  <c r="BB116" i="6"/>
  <c r="X115" i="6"/>
  <c r="Y115" i="6"/>
  <c r="Z114" i="6"/>
  <c r="AA114" i="6" s="1"/>
  <c r="AO114" i="6" s="1"/>
  <c r="A117" i="6"/>
  <c r="AL116" i="6"/>
  <c r="BE116" i="6"/>
  <c r="B116" i="6"/>
  <c r="D116" i="6" s="1"/>
  <c r="E115" i="10"/>
  <c r="F115" i="10" s="1"/>
  <c r="AM115" i="10" s="1"/>
  <c r="H113" i="10"/>
  <c r="I113" i="10" s="1"/>
  <c r="J113" i="10" s="1"/>
  <c r="X116" i="10"/>
  <c r="Z116" i="10" s="1"/>
  <c r="AA116" i="10" s="1"/>
  <c r="BC113" i="10"/>
  <c r="AW113" i="10"/>
  <c r="AI114" i="10"/>
  <c r="AJ114" i="10" s="1"/>
  <c r="AK114" i="10" s="1"/>
  <c r="G114" i="10"/>
  <c r="AV114" i="10"/>
  <c r="AZ114" i="10" s="1"/>
  <c r="U111" i="10"/>
  <c r="V111" i="10" s="1"/>
  <c r="R111" i="10"/>
  <c r="Q111" i="10"/>
  <c r="S111" i="10" s="1"/>
  <c r="BD112" i="10"/>
  <c r="O112" i="10" s="1"/>
  <c r="P112" i="10" s="1"/>
  <c r="L112" i="10"/>
  <c r="K112" i="10"/>
  <c r="BG117" i="10"/>
  <c r="T117" i="10" s="1"/>
  <c r="B117" i="10"/>
  <c r="D117" i="10" s="1"/>
  <c r="Y117" i="10" s="1"/>
  <c r="L112" i="6" l="1"/>
  <c r="Q110" i="6"/>
  <c r="S110" i="6" s="1"/>
  <c r="AO116" i="10"/>
  <c r="R110" i="6"/>
  <c r="P111" i="6"/>
  <c r="Q111" i="6" s="1"/>
  <c r="S111" i="6" s="1"/>
  <c r="BF116" i="6"/>
  <c r="AI113" i="6"/>
  <c r="AJ113" i="6" s="1"/>
  <c r="AK113" i="6" s="1"/>
  <c r="AQ113" i="6"/>
  <c r="AR113" i="6" s="1"/>
  <c r="AN113" i="6"/>
  <c r="AV113" i="6"/>
  <c r="AW113" i="6" s="1"/>
  <c r="AF113" i="6"/>
  <c r="AG113" i="6" s="1"/>
  <c r="M113" i="6" s="1"/>
  <c r="N112" i="6"/>
  <c r="N114" i="10"/>
  <c r="AF115" i="10"/>
  <c r="AG115" i="10" s="1"/>
  <c r="M115" i="10" s="1"/>
  <c r="AQ115" i="10"/>
  <c r="AR115" i="10" s="1"/>
  <c r="AN115" i="10"/>
  <c r="A119" i="10"/>
  <c r="AW112" i="6"/>
  <c r="BD112" i="6" s="1"/>
  <c r="O112" i="6" s="1"/>
  <c r="BG116" i="6"/>
  <c r="T116" i="6" s="1"/>
  <c r="G113" i="6"/>
  <c r="H113" i="6" s="1"/>
  <c r="I113" i="6" s="1"/>
  <c r="J113" i="6" s="1"/>
  <c r="K113" i="6" s="1"/>
  <c r="E114" i="6"/>
  <c r="F114" i="6" s="1"/>
  <c r="AM114" i="6" s="1"/>
  <c r="BB117" i="6"/>
  <c r="AT117" i="6"/>
  <c r="AY117" i="6"/>
  <c r="X116" i="6"/>
  <c r="Y116" i="6"/>
  <c r="Z115" i="6"/>
  <c r="AA115" i="6" s="1"/>
  <c r="AO115" i="6" s="1"/>
  <c r="B117" i="6"/>
  <c r="D117" i="6" s="1"/>
  <c r="AL117" i="6"/>
  <c r="A118" i="6"/>
  <c r="BE117" i="6"/>
  <c r="L113" i="10"/>
  <c r="K113" i="10"/>
  <c r="BG118" i="10"/>
  <c r="T118" i="10" s="1"/>
  <c r="B118" i="10"/>
  <c r="D118" i="10" s="1"/>
  <c r="Y118" i="10" s="1"/>
  <c r="H114" i="10"/>
  <c r="I114" i="10" s="1"/>
  <c r="J114" i="10" s="1"/>
  <c r="U112" i="10"/>
  <c r="V112" i="10" s="1"/>
  <c r="R112" i="10"/>
  <c r="Q112" i="10"/>
  <c r="S112" i="10" s="1"/>
  <c r="BD113" i="10"/>
  <c r="O113" i="10" s="1"/>
  <c r="P113" i="10" s="1"/>
  <c r="E116" i="10"/>
  <c r="F116" i="10" s="1"/>
  <c r="AM116" i="10" s="1"/>
  <c r="AI115" i="10"/>
  <c r="AJ115" i="10" s="1"/>
  <c r="AK115" i="10" s="1"/>
  <c r="G115" i="10"/>
  <c r="AV115" i="10"/>
  <c r="AZ115" i="10" s="1"/>
  <c r="X117" i="10"/>
  <c r="Z117" i="10" s="1"/>
  <c r="AA117" i="10" s="1"/>
  <c r="BC114" i="10"/>
  <c r="AW114" i="10"/>
  <c r="AO117" i="10" l="1"/>
  <c r="R111" i="6"/>
  <c r="U111" i="6"/>
  <c r="V111" i="6" s="1"/>
  <c r="P112" i="6"/>
  <c r="R112" i="6" s="1"/>
  <c r="AV114" i="6"/>
  <c r="AW114" i="6" s="1"/>
  <c r="AQ114" i="6"/>
  <c r="AR114" i="6" s="1"/>
  <c r="BC113" i="6"/>
  <c r="BD113" i="6" s="1"/>
  <c r="O113" i="6" s="1"/>
  <c r="N113" i="6"/>
  <c r="L113" i="6"/>
  <c r="N115" i="10"/>
  <c r="A120" i="10"/>
  <c r="AF116" i="10"/>
  <c r="AG116" i="10" s="1"/>
  <c r="M116" i="10" s="1"/>
  <c r="AQ116" i="10"/>
  <c r="AR116" i="10" s="1"/>
  <c r="AN116" i="10"/>
  <c r="AI114" i="6"/>
  <c r="AJ114" i="6" s="1"/>
  <c r="AK114" i="6" s="1"/>
  <c r="AF114" i="6"/>
  <c r="AG114" i="6" s="1"/>
  <c r="M114" i="6" s="1"/>
  <c r="G114" i="6"/>
  <c r="H114" i="6" s="1"/>
  <c r="I114" i="6" s="1"/>
  <c r="J114" i="6" s="1"/>
  <c r="K114" i="6" s="1"/>
  <c r="AN114" i="6"/>
  <c r="E115" i="6"/>
  <c r="F115" i="6" s="1"/>
  <c r="AM115" i="6" s="1"/>
  <c r="BB118" i="6"/>
  <c r="AT118" i="6"/>
  <c r="AY118" i="6"/>
  <c r="BF117" i="6"/>
  <c r="BG117" i="6" s="1"/>
  <c r="T117" i="6" s="1"/>
  <c r="Z116" i="6"/>
  <c r="AA116" i="6" s="1"/>
  <c r="AO116" i="6" s="1"/>
  <c r="X117" i="6"/>
  <c r="Y117" i="6"/>
  <c r="Q112" i="6"/>
  <c r="S112" i="6" s="1"/>
  <c r="U112" i="6"/>
  <c r="V112" i="6" s="1"/>
  <c r="BE118" i="6"/>
  <c r="AL118" i="6"/>
  <c r="A119" i="6"/>
  <c r="B118" i="6"/>
  <c r="D118" i="6" s="1"/>
  <c r="BD114" i="10"/>
  <c r="O114" i="10" s="1"/>
  <c r="P114" i="10" s="1"/>
  <c r="BC115" i="10"/>
  <c r="AW115" i="10"/>
  <c r="E117" i="10"/>
  <c r="F117" i="10" s="1"/>
  <c r="AM117" i="10" s="1"/>
  <c r="L114" i="10"/>
  <c r="K114" i="10"/>
  <c r="H115" i="10"/>
  <c r="I115" i="10" s="1"/>
  <c r="J115" i="10" s="1"/>
  <c r="BG119" i="10"/>
  <c r="T119" i="10" s="1"/>
  <c r="B119" i="10"/>
  <c r="D119" i="10" s="1"/>
  <c r="Y119" i="10" s="1"/>
  <c r="X118" i="10"/>
  <c r="Z118" i="10" s="1"/>
  <c r="AA118" i="10" s="1"/>
  <c r="AI116" i="10"/>
  <c r="AJ116" i="10" s="1"/>
  <c r="AK116" i="10" s="1"/>
  <c r="G116" i="10"/>
  <c r="AV116" i="10"/>
  <c r="AZ116" i="10" s="1"/>
  <c r="U113" i="10"/>
  <c r="V113" i="10" s="1"/>
  <c r="R113" i="10"/>
  <c r="Q113" i="10"/>
  <c r="S113" i="10" s="1"/>
  <c r="AO118" i="10" l="1"/>
  <c r="BC114" i="6"/>
  <c r="BD114" i="6"/>
  <c r="O114" i="6" s="1"/>
  <c r="P113" i="6"/>
  <c r="Q113" i="6" s="1"/>
  <c r="S113" i="6" s="1"/>
  <c r="G115" i="6"/>
  <c r="H115" i="6" s="1"/>
  <c r="I115" i="6" s="1"/>
  <c r="J115" i="6" s="1"/>
  <c r="K115" i="6" s="1"/>
  <c r="AQ115" i="6"/>
  <c r="AR115" i="6" s="1"/>
  <c r="N114" i="6"/>
  <c r="P114" i="6" s="1"/>
  <c r="Q114" i="6" s="1"/>
  <c r="S114" i="6" s="1"/>
  <c r="N116" i="10"/>
  <c r="R113" i="6"/>
  <c r="L114" i="6"/>
  <c r="AF117" i="10"/>
  <c r="AG117" i="10" s="1"/>
  <c r="M117" i="10" s="1"/>
  <c r="AQ117" i="10"/>
  <c r="AR117" i="10" s="1"/>
  <c r="AN117" i="10"/>
  <c r="A121" i="10"/>
  <c r="AF115" i="6"/>
  <c r="AG115" i="6" s="1"/>
  <c r="M115" i="6" s="1"/>
  <c r="AI115" i="6"/>
  <c r="AJ115" i="6" s="1"/>
  <c r="AK115" i="6" s="1"/>
  <c r="AN115" i="6"/>
  <c r="AV115" i="6"/>
  <c r="BC115" i="6" s="1"/>
  <c r="E116" i="6"/>
  <c r="F116" i="6" s="1"/>
  <c r="AM116" i="6" s="1"/>
  <c r="BF118" i="6"/>
  <c r="BG118" i="6" s="1"/>
  <c r="T118" i="6" s="1"/>
  <c r="AT119" i="6"/>
  <c r="BB119" i="6"/>
  <c r="AY119" i="6"/>
  <c r="X118" i="6"/>
  <c r="Y118" i="6"/>
  <c r="Z117" i="6"/>
  <c r="AA117" i="6" s="1"/>
  <c r="AO117" i="6" s="1"/>
  <c r="AL119" i="6"/>
  <c r="B119" i="6"/>
  <c r="D119" i="6" s="1"/>
  <c r="A120" i="6"/>
  <c r="BE119" i="6"/>
  <c r="L115" i="10"/>
  <c r="K115" i="10"/>
  <c r="BC116" i="10"/>
  <c r="AW116" i="10"/>
  <c r="B120" i="10"/>
  <c r="D120" i="10" s="1"/>
  <c r="Y120" i="10" s="1"/>
  <c r="BG120" i="10"/>
  <c r="T120" i="10" s="1"/>
  <c r="U114" i="10"/>
  <c r="V114" i="10" s="1"/>
  <c r="R114" i="10"/>
  <c r="Q114" i="10"/>
  <c r="S114" i="10" s="1"/>
  <c r="H116" i="10"/>
  <c r="I116" i="10" s="1"/>
  <c r="J116" i="10" s="1"/>
  <c r="AI117" i="10"/>
  <c r="AJ117" i="10" s="1"/>
  <c r="AK117" i="10" s="1"/>
  <c r="G117" i="10"/>
  <c r="AV117" i="10"/>
  <c r="AZ117" i="10" s="1"/>
  <c r="E118" i="10"/>
  <c r="F118" i="10" s="1"/>
  <c r="AM118" i="10" s="1"/>
  <c r="X119" i="10"/>
  <c r="Z119" i="10" s="1"/>
  <c r="AA119" i="10" s="1"/>
  <c r="BD115" i="10"/>
  <c r="O115" i="10" s="1"/>
  <c r="P115" i="10" s="1"/>
  <c r="L115" i="6" l="1"/>
  <c r="AO119" i="10"/>
  <c r="U113" i="6"/>
  <c r="V113" i="6" s="1"/>
  <c r="N115" i="6"/>
  <c r="G116" i="6"/>
  <c r="H116" i="6" s="1"/>
  <c r="I116" i="6" s="1"/>
  <c r="J116" i="6" s="1"/>
  <c r="AQ116" i="6"/>
  <c r="AR116" i="6" s="1"/>
  <c r="N117" i="10"/>
  <c r="A122" i="10"/>
  <c r="AF118" i="10"/>
  <c r="AG118" i="10" s="1"/>
  <c r="M118" i="10" s="1"/>
  <c r="AQ118" i="10"/>
  <c r="AR118" i="10" s="1"/>
  <c r="AN118" i="10"/>
  <c r="AN116" i="6"/>
  <c r="AF116" i="6"/>
  <c r="AG116" i="6" s="1"/>
  <c r="M116" i="6" s="1"/>
  <c r="AV116" i="6"/>
  <c r="BC116" i="6" s="1"/>
  <c r="AI116" i="6"/>
  <c r="AJ116" i="6" s="1"/>
  <c r="AK116" i="6" s="1"/>
  <c r="AW115" i="6"/>
  <c r="BD115" i="6" s="1"/>
  <c r="O115" i="6" s="1"/>
  <c r="E117" i="6"/>
  <c r="F117" i="6" s="1"/>
  <c r="AM117" i="6" s="1"/>
  <c r="R114" i="6"/>
  <c r="BB120" i="6"/>
  <c r="AT120" i="6"/>
  <c r="AY120" i="6"/>
  <c r="U114" i="6"/>
  <c r="BF119" i="6"/>
  <c r="BG119" i="6" s="1"/>
  <c r="T119" i="6" s="1"/>
  <c r="Z118" i="6"/>
  <c r="AA118" i="6" s="1"/>
  <c r="AO118" i="6" s="1"/>
  <c r="X119" i="6"/>
  <c r="Y119" i="6"/>
  <c r="L116" i="6"/>
  <c r="K116" i="6"/>
  <c r="AL120" i="6"/>
  <c r="BE120" i="6"/>
  <c r="A121" i="6"/>
  <c r="B120" i="6"/>
  <c r="D120" i="6" s="1"/>
  <c r="U115" i="10"/>
  <c r="V115" i="10" s="1"/>
  <c r="R115" i="10"/>
  <c r="Q115" i="10"/>
  <c r="S115" i="10" s="1"/>
  <c r="L116" i="10"/>
  <c r="K116" i="10"/>
  <c r="E119" i="10"/>
  <c r="F119" i="10" s="1"/>
  <c r="AM119" i="10" s="1"/>
  <c r="BC117" i="10"/>
  <c r="AW117" i="10"/>
  <c r="X120" i="10"/>
  <c r="Z120" i="10" s="1"/>
  <c r="AA120" i="10" s="1"/>
  <c r="AI118" i="10"/>
  <c r="AJ118" i="10" s="1"/>
  <c r="AK118" i="10" s="1"/>
  <c r="G118" i="10"/>
  <c r="AV118" i="10"/>
  <c r="AZ118" i="10" s="1"/>
  <c r="H117" i="10"/>
  <c r="I117" i="10" s="1"/>
  <c r="J117" i="10" s="1"/>
  <c r="BD116" i="10"/>
  <c r="O116" i="10" s="1"/>
  <c r="P116" i="10" s="1"/>
  <c r="B121" i="10"/>
  <c r="D121" i="10" s="1"/>
  <c r="Y121" i="10" s="1"/>
  <c r="BG121" i="10"/>
  <c r="T121" i="10" s="1"/>
  <c r="AO120" i="10" l="1"/>
  <c r="AF117" i="6"/>
  <c r="AG117" i="6" s="1"/>
  <c r="M117" i="6" s="1"/>
  <c r="V114" i="6"/>
  <c r="AW116" i="6"/>
  <c r="P115" i="6"/>
  <c r="R115" i="6" s="1"/>
  <c r="G117" i="6"/>
  <c r="H117" i="6" s="1"/>
  <c r="I117" i="6" s="1"/>
  <c r="J117" i="6" s="1"/>
  <c r="L117" i="6" s="1"/>
  <c r="AQ117" i="6"/>
  <c r="AR117" i="6" s="1"/>
  <c r="N116" i="6"/>
  <c r="N118" i="10"/>
  <c r="AF119" i="10"/>
  <c r="AG119" i="10" s="1"/>
  <c r="M119" i="10" s="1"/>
  <c r="AQ119" i="10"/>
  <c r="AR119" i="10" s="1"/>
  <c r="AN119" i="10"/>
  <c r="AN117" i="6"/>
  <c r="AI117" i="6"/>
  <c r="AJ117" i="6" s="1"/>
  <c r="AK117" i="6" s="1"/>
  <c r="AV117" i="6"/>
  <c r="BC117" i="6" s="1"/>
  <c r="E118" i="6"/>
  <c r="F118" i="6" s="1"/>
  <c r="AM118" i="6" s="1"/>
  <c r="Q115" i="6"/>
  <c r="S115" i="6" s="1"/>
  <c r="U115" i="6"/>
  <c r="V115" i="6" s="1"/>
  <c r="AT121" i="6"/>
  <c r="BB121" i="6"/>
  <c r="AY121" i="6"/>
  <c r="BF120" i="6"/>
  <c r="BG120" i="6" s="1"/>
  <c r="T120" i="6" s="1"/>
  <c r="Z119" i="6"/>
  <c r="AA119" i="6" s="1"/>
  <c r="AO119" i="6" s="1"/>
  <c r="BD116" i="6"/>
  <c r="O116" i="6" s="1"/>
  <c r="Y120" i="6"/>
  <c r="X120" i="6"/>
  <c r="AL121" i="6"/>
  <c r="BE121" i="6"/>
  <c r="A122" i="6"/>
  <c r="B121" i="6"/>
  <c r="D121" i="6" s="1"/>
  <c r="K117" i="10"/>
  <c r="L117" i="10"/>
  <c r="U116" i="10"/>
  <c r="V116" i="10" s="1"/>
  <c r="R116" i="10"/>
  <c r="Q116" i="10"/>
  <c r="S116" i="10" s="1"/>
  <c r="E120" i="10"/>
  <c r="F120" i="10" s="1"/>
  <c r="AM120" i="10" s="1"/>
  <c r="BG122" i="10"/>
  <c r="T122" i="10" s="1"/>
  <c r="B122" i="10"/>
  <c r="D122" i="10" s="1"/>
  <c r="Y122" i="10" s="1"/>
  <c r="X121" i="10"/>
  <c r="Z121" i="10" s="1"/>
  <c r="AA121" i="10" s="1"/>
  <c r="BD117" i="10"/>
  <c r="O117" i="10" s="1"/>
  <c r="P117" i="10" s="1"/>
  <c r="AV119" i="10"/>
  <c r="AZ119" i="10" s="1"/>
  <c r="AI119" i="10"/>
  <c r="AJ119" i="10" s="1"/>
  <c r="AK119" i="10" s="1"/>
  <c r="G119" i="10"/>
  <c r="BC118" i="10"/>
  <c r="AW118" i="10"/>
  <c r="H118" i="10"/>
  <c r="I118" i="10" s="1"/>
  <c r="J118" i="10" s="1"/>
  <c r="AO121" i="10" l="1"/>
  <c r="K117" i="6"/>
  <c r="AQ118" i="6"/>
  <c r="AR118" i="6" s="1"/>
  <c r="AN118" i="6"/>
  <c r="AF118" i="6"/>
  <c r="AG118" i="6" s="1"/>
  <c r="M118" i="6" s="1"/>
  <c r="AI118" i="6"/>
  <c r="AJ118" i="6" s="1"/>
  <c r="AK118" i="6" s="1"/>
  <c r="P116" i="6"/>
  <c r="U116" i="6" s="1"/>
  <c r="V116" i="6" s="1"/>
  <c r="AV118" i="6"/>
  <c r="AW118" i="6" s="1"/>
  <c r="AW117" i="6"/>
  <c r="BD117" i="6" s="1"/>
  <c r="O117" i="6" s="1"/>
  <c r="N117" i="6"/>
  <c r="Z120" i="6"/>
  <c r="AA120" i="6" s="1"/>
  <c r="G118" i="6"/>
  <c r="H118" i="6" s="1"/>
  <c r="I118" i="6" s="1"/>
  <c r="J118" i="6" s="1"/>
  <c r="K118" i="6" s="1"/>
  <c r="N119" i="10"/>
  <c r="AF120" i="10"/>
  <c r="AG120" i="10" s="1"/>
  <c r="M120" i="10" s="1"/>
  <c r="AQ120" i="10"/>
  <c r="AR120" i="10" s="1"/>
  <c r="AN120" i="10"/>
  <c r="E119" i="6"/>
  <c r="F119" i="6" s="1"/>
  <c r="AM119" i="6" s="1"/>
  <c r="AY122" i="6"/>
  <c r="AT122" i="6"/>
  <c r="BB122" i="6"/>
  <c r="BF121" i="6"/>
  <c r="BG121" i="6" s="1"/>
  <c r="T121" i="6" s="1"/>
  <c r="X121" i="6"/>
  <c r="Y121" i="6"/>
  <c r="AL122" i="6"/>
  <c r="BE122" i="6"/>
  <c r="B122" i="6"/>
  <c r="D122" i="6" s="1"/>
  <c r="U117" i="10"/>
  <c r="V117" i="10" s="1"/>
  <c r="R117" i="10"/>
  <c r="Q117" i="10"/>
  <c r="S117" i="10" s="1"/>
  <c r="K118" i="10"/>
  <c r="L118" i="10"/>
  <c r="AI120" i="10"/>
  <c r="AJ120" i="10" s="1"/>
  <c r="AK120" i="10" s="1"/>
  <c r="G120" i="10"/>
  <c r="AV120" i="10"/>
  <c r="AZ120" i="10" s="1"/>
  <c r="BD118" i="10"/>
  <c r="O118" i="10" s="1"/>
  <c r="P118" i="10" s="1"/>
  <c r="X122" i="10"/>
  <c r="Z122" i="10" s="1"/>
  <c r="AA122" i="10" s="1"/>
  <c r="H119" i="10"/>
  <c r="I119" i="10" s="1"/>
  <c r="J119" i="10" s="1"/>
  <c r="BC119" i="10"/>
  <c r="AW119" i="10"/>
  <c r="E121" i="10"/>
  <c r="F121" i="10" s="1"/>
  <c r="AM121" i="10" s="1"/>
  <c r="N118" i="6" l="1"/>
  <c r="AO122" i="10"/>
  <c r="P117" i="6"/>
  <c r="Q117" i="6" s="1"/>
  <c r="S117" i="6" s="1"/>
  <c r="AQ119" i="6"/>
  <c r="AR119" i="6" s="1"/>
  <c r="AN119" i="6"/>
  <c r="R116" i="6"/>
  <c r="Q116" i="6"/>
  <c r="S116" i="6" s="1"/>
  <c r="BC118" i="6"/>
  <c r="BD118" i="6" s="1"/>
  <c r="O118" i="6" s="1"/>
  <c r="P118" i="6" s="1"/>
  <c r="E120" i="6"/>
  <c r="F120" i="6" s="1"/>
  <c r="AO120" i="6"/>
  <c r="N120" i="10"/>
  <c r="L118" i="6"/>
  <c r="AV119" i="6"/>
  <c r="BC119" i="6" s="1"/>
  <c r="AF119" i="6"/>
  <c r="AG119" i="6" s="1"/>
  <c r="M119" i="6" s="1"/>
  <c r="AI119" i="6"/>
  <c r="AJ119" i="6" s="1"/>
  <c r="AK119" i="6" s="1"/>
  <c r="G119" i="6"/>
  <c r="H119" i="6" s="1"/>
  <c r="I119" i="6" s="1"/>
  <c r="J119" i="6" s="1"/>
  <c r="L119" i="6" s="1"/>
  <c r="AF121" i="10"/>
  <c r="AG121" i="10" s="1"/>
  <c r="M121" i="10" s="1"/>
  <c r="AQ121" i="10"/>
  <c r="AR121" i="10" s="1"/>
  <c r="AN121" i="10"/>
  <c r="BF122" i="6"/>
  <c r="BG122" i="6" s="1"/>
  <c r="T122" i="6" s="1"/>
  <c r="X122" i="6"/>
  <c r="Y122" i="6"/>
  <c r="Z121" i="6"/>
  <c r="AA121" i="6" s="1"/>
  <c r="AO121" i="6" s="1"/>
  <c r="BD119" i="10"/>
  <c r="O119" i="10" s="1"/>
  <c r="P119" i="10" s="1"/>
  <c r="U118" i="10"/>
  <c r="V118" i="10" s="1"/>
  <c r="R118" i="10"/>
  <c r="Q118" i="10"/>
  <c r="S118" i="10" s="1"/>
  <c r="AI121" i="10"/>
  <c r="AJ121" i="10" s="1"/>
  <c r="AK121" i="10" s="1"/>
  <c r="AV121" i="10"/>
  <c r="AZ121" i="10" s="1"/>
  <c r="G121" i="10"/>
  <c r="H120" i="10"/>
  <c r="I120" i="10" s="1"/>
  <c r="J120" i="10" s="1"/>
  <c r="E122" i="10"/>
  <c r="F122" i="10" s="1"/>
  <c r="AM122" i="10" s="1"/>
  <c r="BC120" i="10"/>
  <c r="AW120" i="10"/>
  <c r="L119" i="10"/>
  <c r="K119" i="10"/>
  <c r="R117" i="6" l="1"/>
  <c r="AI120" i="6"/>
  <c r="AJ120" i="6" s="1"/>
  <c r="AK120" i="6" s="1"/>
  <c r="AM120" i="6"/>
  <c r="AN120" i="6" s="1"/>
  <c r="U117" i="6"/>
  <c r="V117" i="6" s="1"/>
  <c r="AQ120" i="6"/>
  <c r="AR120" i="6" s="1"/>
  <c r="AF120" i="6"/>
  <c r="AG120" i="6" s="1"/>
  <c r="M120" i="6" s="1"/>
  <c r="G120" i="6"/>
  <c r="H120" i="6" s="1"/>
  <c r="I120" i="6" s="1"/>
  <c r="J120" i="6" s="1"/>
  <c r="AV120" i="6"/>
  <c r="N119" i="6"/>
  <c r="AW119" i="6"/>
  <c r="BD119" i="6" s="1"/>
  <c r="O119" i="6" s="1"/>
  <c r="K119" i="6"/>
  <c r="N121" i="10"/>
  <c r="AF122" i="10"/>
  <c r="AG122" i="10" s="1"/>
  <c r="M122" i="10" s="1"/>
  <c r="AQ122" i="10"/>
  <c r="AR122" i="10" s="1"/>
  <c r="AN122" i="10"/>
  <c r="E121" i="6"/>
  <c r="F121" i="6" s="1"/>
  <c r="AM121" i="6" s="1"/>
  <c r="U118" i="6"/>
  <c r="V118" i="6" s="1"/>
  <c r="R118" i="6"/>
  <c r="Q118" i="6"/>
  <c r="S118" i="6" s="1"/>
  <c r="Z122" i="6"/>
  <c r="AA122" i="6" s="1"/>
  <c r="AO122" i="6" s="1"/>
  <c r="R119" i="10"/>
  <c r="Q119" i="10"/>
  <c r="S119" i="10" s="1"/>
  <c r="U119" i="10"/>
  <c r="V119" i="10" s="1"/>
  <c r="AV122" i="10"/>
  <c r="AZ122" i="10" s="1"/>
  <c r="AI122" i="10"/>
  <c r="AJ122" i="10" s="1"/>
  <c r="AK122" i="10" s="1"/>
  <c r="G122" i="10"/>
  <c r="BD120" i="10"/>
  <c r="O120" i="10" s="1"/>
  <c r="P120" i="10" s="1"/>
  <c r="L120" i="10"/>
  <c r="K120" i="10"/>
  <c r="H121" i="10"/>
  <c r="I121" i="10" s="1"/>
  <c r="J121" i="10" s="1"/>
  <c r="BC121" i="10"/>
  <c r="AW121" i="10"/>
  <c r="P119" i="6" l="1"/>
  <c r="R119" i="6" s="1"/>
  <c r="N120" i="6"/>
  <c r="L120" i="6"/>
  <c r="K120" i="6"/>
  <c r="AI121" i="6"/>
  <c r="AJ121" i="6" s="1"/>
  <c r="AK121" i="6" s="1"/>
  <c r="AN121" i="6"/>
  <c r="AW120" i="6"/>
  <c r="BC120" i="6"/>
  <c r="BD120" i="6" s="1"/>
  <c r="O120" i="6" s="1"/>
  <c r="G121" i="6"/>
  <c r="H121" i="6" s="1"/>
  <c r="I121" i="6" s="1"/>
  <c r="J121" i="6" s="1"/>
  <c r="K121" i="6" s="1"/>
  <c r="AQ121" i="6"/>
  <c r="AR121" i="6" s="1"/>
  <c r="AV121" i="6"/>
  <c r="BC121" i="6" s="1"/>
  <c r="N122" i="10"/>
  <c r="Q119" i="6"/>
  <c r="S119" i="6" s="1"/>
  <c r="U119" i="6"/>
  <c r="V119" i="6" s="1"/>
  <c r="AF121" i="6"/>
  <c r="AG121" i="6" s="1"/>
  <c r="M121" i="6" s="1"/>
  <c r="E122" i="6"/>
  <c r="F122" i="6" s="1"/>
  <c r="AM122" i="6" s="1"/>
  <c r="R120" i="10"/>
  <c r="Q120" i="10"/>
  <c r="S120" i="10" s="1"/>
  <c r="U120" i="10"/>
  <c r="V120" i="10" s="1"/>
  <c r="H122" i="10"/>
  <c r="I122" i="10" s="1"/>
  <c r="J122" i="10" s="1"/>
  <c r="BC122" i="10"/>
  <c r="AW122" i="10"/>
  <c r="BD121" i="10"/>
  <c r="O121" i="10" s="1"/>
  <c r="P121" i="10" s="1"/>
  <c r="L121" i="10"/>
  <c r="K121" i="10"/>
  <c r="P120" i="6" l="1"/>
  <c r="U120" i="6" s="1"/>
  <c r="V120" i="6" s="1"/>
  <c r="AW121" i="6"/>
  <c r="L121" i="6"/>
  <c r="AI122" i="6"/>
  <c r="AJ122" i="6" s="1"/>
  <c r="AK122" i="6" s="1"/>
  <c r="N121" i="6"/>
  <c r="AV122" i="6"/>
  <c r="AW122" i="6" s="1"/>
  <c r="AQ122" i="6"/>
  <c r="AR122" i="6" s="1"/>
  <c r="AF122" i="6"/>
  <c r="AG122" i="6" s="1"/>
  <c r="M122" i="6" s="1"/>
  <c r="G122" i="6"/>
  <c r="H122" i="6" s="1"/>
  <c r="I122" i="6" s="1"/>
  <c r="J122" i="6" s="1"/>
  <c r="L122" i="6" s="1"/>
  <c r="AN122" i="6"/>
  <c r="BD121" i="6"/>
  <c r="O121" i="6" s="1"/>
  <c r="BD122" i="10"/>
  <c r="O122" i="10" s="1"/>
  <c r="P122" i="10" s="1"/>
  <c r="U121" i="10"/>
  <c r="V121" i="10" s="1"/>
  <c r="R121" i="10"/>
  <c r="Q121" i="10"/>
  <c r="S121" i="10" s="1"/>
  <c r="K122" i="10"/>
  <c r="L122" i="10"/>
  <c r="R120" i="6" l="1"/>
  <c r="Q120" i="6"/>
  <c r="S120" i="6" s="1"/>
  <c r="BC122" i="6"/>
  <c r="N122" i="6"/>
  <c r="P121" i="6"/>
  <c r="U121" i="6" s="1"/>
  <c r="V121" i="6" s="1"/>
  <c r="K122" i="6"/>
  <c r="BD122" i="6"/>
  <c r="O122" i="6" s="1"/>
  <c r="U122" i="10"/>
  <c r="V122" i="10" s="1"/>
  <c r="R122" i="10"/>
  <c r="Q122" i="10"/>
  <c r="S122" i="10" s="1"/>
  <c r="Q121" i="6" l="1"/>
  <c r="S121" i="6" s="1"/>
  <c r="R121" i="6"/>
  <c r="P122" i="6"/>
  <c r="R122" i="6" s="1"/>
  <c r="G62" i="6"/>
  <c r="H62" i="6" s="1"/>
  <c r="AV62" i="6"/>
  <c r="BC62" i="6" s="1"/>
  <c r="AI62" i="6"/>
  <c r="AJ62" i="6" s="1"/>
  <c r="AK62" i="6" s="1"/>
  <c r="N62" i="6" s="1"/>
  <c r="Q122" i="6" l="1"/>
  <c r="U122" i="6"/>
  <c r="V122" i="6" s="1"/>
  <c r="AW62" i="6"/>
  <c r="I62" i="6"/>
  <c r="J62" i="6" s="1"/>
  <c r="L62" i="6" l="1"/>
  <c r="K62" i="6"/>
  <c r="BD62" i="6"/>
  <c r="O62" i="6" s="1"/>
  <c r="P62" i="6" s="1"/>
  <c r="R63" i="6" s="1"/>
  <c r="U62" i="6" l="1"/>
  <c r="V63" i="6" s="1"/>
  <c r="Q62" i="6"/>
  <c r="S122" i="6" l="1"/>
  <c r="S62"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<sst xmlns="http://schemas.openxmlformats.org/spreadsheetml/2006/main" count="570" uniqueCount="346">
  <si>
    <t>Jobseeker Support</t>
  </si>
  <si>
    <t>Childcare Subsidy</t>
  </si>
  <si>
    <t>Community Services Card</t>
  </si>
  <si>
    <t>Family Tax Credit</t>
  </si>
  <si>
    <t>Out of School Care and Recreation (OSCAR)</t>
  </si>
  <si>
    <t>Supported Living Payment (Carers)</t>
  </si>
  <si>
    <t>Supported Living Payment (Health Condition)</t>
  </si>
  <si>
    <t>Disability Allowance</t>
  </si>
  <si>
    <t>Temporary Additional Support</t>
  </si>
  <si>
    <t>Training Incentive Allowance</t>
  </si>
  <si>
    <t>Urgent and One Off Assistance</t>
  </si>
  <si>
    <t>Winter Energy Payment</t>
  </si>
  <si>
    <t>Work less than 30 hours per week
Income cutoff point
20 or older and have dependent children
$7-$337 per week</t>
  </si>
  <si>
    <t>Eligible to receive a main benefit</t>
  </si>
  <si>
    <t>Part of working for families
Child is in your care at least 7 days per fortnight</t>
  </si>
  <si>
    <t>Child is 4 or younger (some additional rules)
Attending early childhood education &gt; 3 hours per week
Income threshold
$5.60 per hour of care</t>
  </si>
  <si>
    <t>Income threshold
$5.60 per hour of care</t>
  </si>
  <si>
    <t>Caring full time for someone at home
$365 per week</t>
  </si>
  <si>
    <t>$22-$730 per week</t>
  </si>
  <si>
    <t>Up to $140 per week if you have disability or regular medical costs
Income threshold</t>
  </si>
  <si>
    <t>$32 per week, eligible to receive a main benefit</t>
  </si>
  <si>
    <t>Emergency Maintenance Allowance</t>
  </si>
  <si>
    <t>Sole parent of child under 14, don't qualify for other payments</t>
  </si>
  <si>
    <t>Sole Parent Support</t>
  </si>
  <si>
    <t>Dependent child under 14
Income threshold</t>
  </si>
  <si>
    <t>Accommodation supplement</t>
  </si>
  <si>
    <t>Income below threshold
Housing not from a social provider</t>
  </si>
  <si>
    <t>Best Start Credit</t>
  </si>
  <si>
    <t>Child under 3</t>
  </si>
  <si>
    <t>Early Learning Payment</t>
  </si>
  <si>
    <t>For children in Family Start or Early Start, Income Threshold</t>
  </si>
  <si>
    <t>Guaranteed Childcare Assistance Payment</t>
  </si>
  <si>
    <t>Work 15 hours or less per week, in full time education</t>
  </si>
  <si>
    <t>Working for Families Tax Credits</t>
  </si>
  <si>
    <t>Not eligible for a main benefit</t>
  </si>
  <si>
    <t>Living Arrangement</t>
  </si>
  <si>
    <t>Single</t>
  </si>
  <si>
    <t>Couple</t>
  </si>
  <si>
    <t>Age</t>
  </si>
  <si>
    <t>At Home (under 20)</t>
  </si>
  <si>
    <t>Y</t>
  </si>
  <si>
    <t>Age start</t>
  </si>
  <si>
    <t>Age end</t>
  </si>
  <si>
    <t>N</t>
  </si>
  <si>
    <t>After Tax</t>
  </si>
  <si>
    <t>Gross</t>
  </si>
  <si>
    <t>Couple (Total)</t>
  </si>
  <si>
    <t>Couple (each)</t>
  </si>
  <si>
    <t>Rent or Board</t>
  </si>
  <si>
    <t>Mortgage</t>
  </si>
  <si>
    <t>Accommodation Supplement Area</t>
  </si>
  <si>
    <t>Special Benefit Standard Costs</t>
  </si>
  <si>
    <t>Couple, 1 not on benefit</t>
  </si>
  <si>
    <t>Total number children</t>
  </si>
  <si>
    <t>Per Child</t>
  </si>
  <si>
    <t>Number of Children</t>
  </si>
  <si>
    <t>3+</t>
  </si>
  <si>
    <t>Rate Band</t>
  </si>
  <si>
    <t>Gross income start</t>
  </si>
  <si>
    <t>Gross income end</t>
  </si>
  <si>
    <t>Note: OSCAR during holidays is up to 50 hours per week, during term time is up to 20 hours per week</t>
  </si>
  <si>
    <t>Hourly rate per child, non-taxable</t>
  </si>
  <si>
    <t>Maximum weekly 50 hrs per child</t>
  </si>
  <si>
    <t>Maximum weekly 20 hrs per child</t>
  </si>
  <si>
    <t>Student loan payments?</t>
  </si>
  <si>
    <t>Abatement</t>
  </si>
  <si>
    <t>Additional family earning threshold</t>
  </si>
  <si>
    <t>Additional family earning second threshold</t>
  </si>
  <si>
    <t>Abatement rate per household dollar additional first threshold</t>
  </si>
  <si>
    <t>Abatement rate per household dollar additional second threshold</t>
  </si>
  <si>
    <t>Children</t>
  </si>
  <si>
    <t>Children start</t>
  </si>
  <si>
    <t>Children end</t>
  </si>
  <si>
    <t>Children over 5</t>
  </si>
  <si>
    <t>Scenario</t>
  </si>
  <si>
    <t>Living Situation</t>
  </si>
  <si>
    <t>Total children</t>
  </si>
  <si>
    <t>Accommodation Supplement Zone</t>
  </si>
  <si>
    <t>1 is highest subsidy, relates to Auckland.  Currently assume you aren't in social housing, and are renting</t>
  </si>
  <si>
    <t>Model for increased hours of work</t>
  </si>
  <si>
    <t>Hourly pay rate</t>
  </si>
  <si>
    <t>Minimum wage is $21.20 for an adult</t>
  </si>
  <si>
    <t>Hours of work</t>
  </si>
  <si>
    <t>Main Benefit</t>
  </si>
  <si>
    <t>Lookup</t>
  </si>
  <si>
    <t>Couple1</t>
  </si>
  <si>
    <t>Household abatement rate main benefit</t>
  </si>
  <si>
    <t>Accommodation supplement:</t>
  </si>
  <si>
    <t>70% of the amount by which an applicant's weekly accommodation costs exceed 25% of the base rate, but not more than the cap</t>
  </si>
  <si>
    <t>More</t>
  </si>
  <si>
    <t>Only relevant if single no kids</t>
  </si>
  <si>
    <t>Single_AtH_U20_0</t>
  </si>
  <si>
    <t>Single_AwH_U20_0</t>
  </si>
  <si>
    <t>Single_AwH_U25_0</t>
  </si>
  <si>
    <t>Single_AwH_O25_0</t>
  </si>
  <si>
    <t>Couple_AwH_O25_0</t>
  </si>
  <si>
    <t>Couple1_AwH_O25_0</t>
  </si>
  <si>
    <t>Single_AwH_O25_1</t>
  </si>
  <si>
    <t>Single_AwH_O25_More</t>
  </si>
  <si>
    <t>Couple_AwH_O25_1</t>
  </si>
  <si>
    <t>Couple_AwH_O25_More</t>
  </si>
  <si>
    <t>Couple1_AwH_O25_1</t>
  </si>
  <si>
    <t>Couple1_AwH_O25_More</t>
  </si>
  <si>
    <t>Couple (both on benefit)</t>
  </si>
  <si>
    <t>Living At Home?</t>
  </si>
  <si>
    <t>Only relevant if single no kids and under 20</t>
  </si>
  <si>
    <t>Living at home part</t>
  </si>
  <si>
    <t>Living situation lookup</t>
  </si>
  <si>
    <t>Age part</t>
  </si>
  <si>
    <t>Children part</t>
  </si>
  <si>
    <t>Lookup value</t>
  </si>
  <si>
    <t>Living at home</t>
  </si>
  <si>
    <t>AtH</t>
  </si>
  <si>
    <t>Living away from home</t>
  </si>
  <si>
    <t>AwH</t>
  </si>
  <si>
    <t>At Home Lookup</t>
  </si>
  <si>
    <t>At Home Value</t>
  </si>
  <si>
    <t>Living Situation Dropdown</t>
  </si>
  <si>
    <t>Living Situation Value</t>
  </si>
  <si>
    <t>Household main benefit weekly payment</t>
  </si>
  <si>
    <t>Maximum household accommodation supplement</t>
  </si>
  <si>
    <t>Accommodation expenses per week</t>
  </si>
  <si>
    <t>Household abatement threshold main benefit</t>
  </si>
  <si>
    <t>Household abatement threshold 2 main benefit</t>
  </si>
  <si>
    <t>Household abatement rate 2 main benefit</t>
  </si>
  <si>
    <t>First Child</t>
  </si>
  <si>
    <t>Subsequent children</t>
  </si>
  <si>
    <t>Abatement Rate</t>
  </si>
  <si>
    <t>Household Income Threshold</t>
  </si>
  <si>
    <t>Family Tax Credit- everyone gets this (beneficiary or no)</t>
  </si>
  <si>
    <t>Minimum Family Tax Credit - only those in work get this (min 20 hours per week as sole parent, or 30 hours total as a household)</t>
  </si>
  <si>
    <t>In Work Tax Credit</t>
  </si>
  <si>
    <t>After tax minimum</t>
  </si>
  <si>
    <t>Only applies to people not getting a means tested main benefit - so ignore for now</t>
  </si>
  <si>
    <t>Family Tax Credits Total</t>
  </si>
  <si>
    <t>Family Tax Credit Abatement Threshold</t>
  </si>
  <si>
    <t>Family Tax Credit Abatement Rate</t>
  </si>
  <si>
    <t>Pay</t>
  </si>
  <si>
    <t>Abatement Amount 1</t>
  </si>
  <si>
    <t>Abatement Amount 2</t>
  </si>
  <si>
    <t>Total Abatement</t>
  </si>
  <si>
    <t>Accommodation Supplement</t>
  </si>
  <si>
    <t>Base</t>
  </si>
  <si>
    <t>Net</t>
  </si>
  <si>
    <t>25% of base benefit</t>
  </si>
  <si>
    <t>Amount in excess of 25%</t>
  </si>
  <si>
    <t>75% of amount in excess</t>
  </si>
  <si>
    <t>Cap applied</t>
  </si>
  <si>
    <t>Total Gross Income</t>
  </si>
  <si>
    <t>Abatement Amount</t>
  </si>
  <si>
    <t>These payments are non-taxable</t>
  </si>
  <si>
    <t>Base Amount</t>
  </si>
  <si>
    <t>Abatement Base</t>
  </si>
  <si>
    <t>Net FTC</t>
  </si>
  <si>
    <t>14% tax threshold</t>
  </si>
  <si>
    <t>17.5% tax threshold</t>
  </si>
  <si>
    <t>30% tax threshold</t>
  </si>
  <si>
    <t>33% tax threshold</t>
  </si>
  <si>
    <t>39% tax threshold</t>
  </si>
  <si>
    <t>Tax Credits</t>
  </si>
  <si>
    <t>Net Income</t>
  </si>
  <si>
    <t>Number children total</t>
  </si>
  <si>
    <t>Subsidy rate per hour</t>
  </si>
  <si>
    <t>Number Children</t>
  </si>
  <si>
    <t>Threshold 1</t>
  </si>
  <si>
    <t>Threshold 2</t>
  </si>
  <si>
    <t>Threshold 3</t>
  </si>
  <si>
    <t>Rate 1</t>
  </si>
  <si>
    <t>Rate 2</t>
  </si>
  <si>
    <t>Rate 3</t>
  </si>
  <si>
    <t>Childcare Support</t>
  </si>
  <si>
    <t>Lookup Children</t>
  </si>
  <si>
    <t>Threshold 0</t>
  </si>
  <si>
    <t>Rate 0</t>
  </si>
  <si>
    <t>Total subsidy</t>
  </si>
  <si>
    <t>Number children over 5</t>
  </si>
  <si>
    <t>Hours for children over 5</t>
  </si>
  <si>
    <t>Total over 5 subsidy</t>
  </si>
  <si>
    <t>Incremental Costs</t>
  </si>
  <si>
    <t>Childcare</t>
  </si>
  <si>
    <t>Assume $10 transport per 8 hours, $10 lunch per 8 hours, $5 clothing per 8 hours = $3 per hour</t>
  </si>
  <si>
    <t>Working expenses</t>
  </si>
  <si>
    <t>Total additional costs</t>
  </si>
  <si>
    <t>Summary</t>
  </si>
  <si>
    <t>Weekly After Tax Income</t>
  </si>
  <si>
    <t>Weekly After Tax and Transfer Income</t>
  </si>
  <si>
    <t>Annual After Tax and Transfer Income</t>
  </si>
  <si>
    <t>Effective Gross Income</t>
  </si>
  <si>
    <t>Annual Gross Income</t>
  </si>
  <si>
    <t>Expenses</t>
  </si>
  <si>
    <t>Net After Tax, Transfer and Expenses</t>
  </si>
  <si>
    <t>Benefit</t>
  </si>
  <si>
    <t>Pay After Tax</t>
  </si>
  <si>
    <t>Benefit After Tax</t>
  </si>
  <si>
    <t>https://www.workandincome.govt.nz/products/benefit-rates/benefit-rates-april-2022.html</t>
  </si>
  <si>
    <t>https://www.workandincome.govt.nz/about-work-and-income/news/2021/income-abatement-changes.html</t>
  </si>
  <si>
    <t>Benefit Rates</t>
  </si>
  <si>
    <t>Abatement Rates</t>
  </si>
  <si>
    <t>Accommodation Supplement rules</t>
  </si>
  <si>
    <t>https://www.legislation.govt.nz/act/public/2018/0032/latest/DLM6784877.html</t>
  </si>
  <si>
    <t>Tax rates</t>
  </si>
  <si>
    <t>https://www.ird.govt.nz/income-tax/income-tax-for-individuals/tax-codes-and-tax-rates-for-individuals/tax-rates-for-individuals</t>
  </si>
  <si>
    <t>ECE rates</t>
  </si>
  <si>
    <t>https://www.daisies.co.nz/fees</t>
  </si>
  <si>
    <t>Pay Rate</t>
  </si>
  <si>
    <t>Hourly rate to get child care</t>
  </si>
  <si>
    <t>Incremental expenses per hour of work</t>
  </si>
  <si>
    <t>Daisies are $275 for 35 hours, or $8 per hour.  Assume a bit lower</t>
  </si>
  <si>
    <t>Model created by PaulL, based on publicly available information sources (refer Entitlements tab)</t>
  </si>
  <si>
    <t>All mistakes, errors, and omissions my own</t>
  </si>
  <si>
    <t>Indicative of anticipated effective marginal tax rates, or to put it another way, the returns that someone would get from working 1 more hour, or getting a $1 per hour pay rise</t>
  </si>
  <si>
    <t>Not all scenarios are fully implemented, use with caution</t>
  </si>
  <si>
    <t>Any feedback, please return to paul@planar.id.au</t>
  </si>
  <si>
    <t>EMTR</t>
  </si>
  <si>
    <t>Children under 3</t>
  </si>
  <si>
    <t>Children 3-5</t>
  </si>
  <si>
    <t>Hours for children under 3</t>
  </si>
  <si>
    <t>Number children under 3</t>
  </si>
  <si>
    <t>Total under 3 subsidy</t>
  </si>
  <si>
    <t>Number children 3 - 5</t>
  </si>
  <si>
    <t>Hours for children 3-5</t>
  </si>
  <si>
    <t>Total 3-5 subsidy</t>
  </si>
  <si>
    <t>Children 3-5 receive 20 hours of free ECE per week, so no subsidy required unless &gt; 20 hours work</t>
  </si>
  <si>
    <t>For a couple, both on a benefit, assumption is that only one goes to work, therefore no childcare required</t>
  </si>
  <si>
    <t>Number of hours that the person works per week.  For a single person, it's obviously that person.  For a couple both on a benefit, it's one of those people.  For a couple with one working, it's the other person who is not working getting a job.</t>
  </si>
  <si>
    <t>Gross weekly pay (before tax) from paid employment for that person</t>
  </si>
  <si>
    <t>Gross weekly income (before tax) from the benefit, after benefit abatement</t>
  </si>
  <si>
    <t>Annualised figure, for context and for tax calculations</t>
  </si>
  <si>
    <t>After tax annual household income, before non-taxable credits and allowances</t>
  </si>
  <si>
    <t>After tax weekly household income</t>
  </si>
  <si>
    <t>Weekly after tax income from paid employment</t>
  </si>
  <si>
    <t>Weekly after tax income from abated benefit</t>
  </si>
  <si>
    <t>Total subsidy on childcare for children under 3, children 3-5, and children over 5 (OSCAR)</t>
  </si>
  <si>
    <t>Total weekly after tax and transfer income - adding everything together</t>
  </si>
  <si>
    <t>Annualised income</t>
  </si>
  <si>
    <t>Ratio of how much extra money was earned before transfers in "Pay" to how much extra income you actually got in "Weekly After Tax and Transfer Income"</t>
  </si>
  <si>
    <t>Reverse engineering what pre-tax income you'd need to have if all that net income was taxable</t>
  </si>
  <si>
    <t>Incremental expenses of working additional hours - childcare and "going to work" costs.  Since we recognise the childcare subsidy, we really need to recognise the childcare cost</t>
  </si>
  <si>
    <t>Net income after incremental expenses are removed</t>
  </si>
  <si>
    <t>Base main benefit.  Currently only Jobseeker is calculated</t>
  </si>
  <si>
    <t>First abatement amount (for sole  parents, there are two abatement thresholds)</t>
  </si>
  <si>
    <t>Second abatement amount (for sole  parents, there are two abatement thresholds)</t>
  </si>
  <si>
    <t>Weekly benefit after abatement</t>
  </si>
  <si>
    <t>Accommodation supplement is based off accommodation expenses in excess of 25% of the base benefit</t>
  </si>
  <si>
    <t>Accommodation expense in excess of 25% of the base benefit</t>
  </si>
  <si>
    <t>75% of that amount in excess of 25% of the base benefit is provided as accommodation supplemenet</t>
  </si>
  <si>
    <t>There is a cap based on region of the maximum accommodation supplement per week</t>
  </si>
  <si>
    <t>These expenses can be more than just rent, and should only be included if you are NOT living in community housing</t>
  </si>
  <si>
    <t>Weekly income from accommodation supplement, after accommodation supplement abatement (not taxable)</t>
  </si>
  <si>
    <t>Intent and Known Limitations</t>
  </si>
  <si>
    <t>Changelog</t>
  </si>
  <si>
    <t>v1</t>
  </si>
  <si>
    <t>Creation</t>
  </si>
  <si>
    <t>v2</t>
  </si>
  <si>
    <t>Update accommodation supplement to be non-taxable (refer https://www.studylink.govt.nz/products/a-z-products/accommodation-supplement.html)</t>
  </si>
  <si>
    <t>Update to split children under 5 into those under 3, and those 3-5.  Children aged 3-5 get free ECE up to 20 hours per week.</t>
  </si>
  <si>
    <t>Added commentary to each column explaining derivation and logic</t>
  </si>
  <si>
    <t>Improved handling of couples with 1 in full time employment.  Still probably not correct.</t>
  </si>
  <si>
    <t>For this reason it focuses on the jobseeker benefit, as that is the benefit people are most likely to leave into work.  The disability and sole parent benefits are less likely to have people moving into work from them, and adding those benefits would considerably increase complexity</t>
  </si>
  <si>
    <t>I haven't found a clear source of information on each benefit and entitlement, whether it's taxable or not, abatement rates and thresholds.  I've assembled information that I've found from google searches.  It's likely that some of that information is incorrect or imperfect, so this model is illustrative of how abatement rates impact upon work incentives only, rather than being an exhaustive/complete record of entitlements in different scenarios.</t>
  </si>
  <si>
    <t>There are many tightly targeted benefits in addition to those in this model.  Those benefits likely have quite high effective abatement rates, but most of them appear to be intended for short term / crisis intervention, and so are unlikely to substantially impact work incentives.</t>
  </si>
  <si>
    <t>The model includes: jobseeker benefit, accommodation supplement, family tax credits (part of working for families), childcare subsidies including OSCAR.</t>
  </si>
  <si>
    <t>It doesn't include full treatment of accommodation supplement for those not receiving a benefit.  The interwebz say that accommodation supplement can be available to those in work with a household income up to $110K.  It still isn't entirely clear to me how abatement does/should work on that - it appears to have a single threshold / cliff abatement</t>
  </si>
  <si>
    <t>Childcare support is complex.  If someone works 24 hours per week, that might be 3 days of 8 hours (and therefore eligible for 2-3 hours of childcare per day after school), or 5 days of 6 hours each (and arguably not eligible for any childcare subsidy for in-school children).  The model assumes that working hours are by preference during school hours, and only start requiring childcare after 25 hours per week.  This is an assumption.  Conversely, it assumes all children require childcare, where I'd expect children older than around 13 wouldn't require childcare.  The model is therefore only really accurate for children under about 13, and even then only for some scenarios.</t>
  </si>
  <si>
    <t>Accommodation supplement has many criteria, including not applying to social housing.  Those rules need to be applied manually - don't enter accommodation costs if the scenario is for someone in social housing.  Again, the model is illustrative not exhaustive.</t>
  </si>
  <si>
    <t>The model treatment of couples, both where both are on a benefit, and where one is in work and the other moving off a benefit, is incomplete and potentially inaccurate.  This is for future extension.</t>
  </si>
  <si>
    <t>The intent of this model is to explore the effective marginal tax rates of someone leaving a benefit and entering employment, or someone who has a part benefit considering increasing their working hours or taking a job with more responsibilities and higher hourly pay.</t>
  </si>
  <si>
    <t>It doesn't include other WFF tax credits, those mainly relate to those not receiving a benefit or minimum income, and it's not clear that they impact large groups of people in the current tax and transfer system.</t>
  </si>
  <si>
    <t>Total amount to be abated from the benefit</t>
  </si>
  <si>
    <t xml:space="preserve">Amount of family tax credit, first child attracts a different rate than subsequent children.  </t>
  </si>
  <si>
    <t>Amount of income in excess of the abatement threshold</t>
  </si>
  <si>
    <t>Abatement amount once abatement percentage is applied</t>
  </si>
  <si>
    <t>Net family tax credit after abatement removed</t>
  </si>
  <si>
    <t>Total number of children in the family</t>
  </si>
  <si>
    <t>How many hours of work in total - every hour of work will require childcare for a child under 3</t>
  </si>
  <si>
    <t>This rate is dependent on income, based on income bands</t>
  </si>
  <si>
    <t>Total subsidy for children under 3</t>
  </si>
  <si>
    <t>Children 3-5 receive 20 hours of free ECE per week.  So hours required are only when parent works &gt; 20 hours per week</t>
  </si>
  <si>
    <t>During school holidays additional childcare hours are available (children aged over 5 are eligible for up to 50 hours per week).  The model doesn't address this, but holidays would be substantially more negative for childcare costs.  Conversely, arguably older children won't cost the full $6 per hour in a care programme - they might go into some sort of holiday camp or similar which probably doesn't have as intensive supervision.</t>
  </si>
  <si>
    <t>Total subsidy for children aged 3-5</t>
  </si>
  <si>
    <t>Children over 5 can receive child care outside school hours.  Assume parents work school hours first, so only hours &gt; 25 hours per week require child care</t>
  </si>
  <si>
    <t>Total subsidy for children aged 5+</t>
  </si>
  <si>
    <t>Total of all childcare subsidy</t>
  </si>
  <si>
    <t>Expenses associated with working additional hours.  Transport to work, food whilst at work, clothing allowance.</t>
  </si>
  <si>
    <t>Since we're recognising the subsidy for childcare and associated abatement, we need to also recognise the underlying childcare cost, which look to be higher than the subsidy amount for most people</t>
  </si>
  <si>
    <t>Total additional costs incurred from working additional hours</t>
  </si>
  <si>
    <t>Second adult income per annum</t>
  </si>
  <si>
    <t>Only used for "Couple (1 not on a benefit)" - this is that other individual's income</t>
  </si>
  <si>
    <t>Couple other income (per week)</t>
  </si>
  <si>
    <t>Couple (1 not on benefit)</t>
  </si>
  <si>
    <t>Only populated if the household type is "Couple (1 not on a benefit)" - this is the other income</t>
  </si>
  <si>
    <t>Total household paid income per week</t>
  </si>
  <si>
    <t>Pay plus couple other income</t>
  </si>
  <si>
    <t>Total taxable gross income per week for the household (i.e. paid income plus benefit)</t>
  </si>
  <si>
    <t>Annual Tax</t>
  </si>
  <si>
    <t>Annual income tax for the household, assuming income is uniformly split.  This may be incorrect for the scenario of a couple where one works - there may be some income splitting benefits</t>
  </si>
  <si>
    <t>The model assumes that a couple where one is not on a benefit, the second person is working full time.  That means that the benefit recipient starting working will require childcare.  Arguably the second person might not be working, and might be otherwise ineligible for a benefit (not a citizen, or some other reason), but the model doesn't cater for those scenarios</t>
  </si>
  <si>
    <t>Hours of work per week</t>
  </si>
  <si>
    <t>The pay rate per hour that this person might achieve (perhaps through a promotion or other change).  Note that minimum wage is $21.20 for an adult, but we've started at $21 because it's easier.</t>
  </si>
  <si>
    <t>Student Loans and Child Support abatements are not included in the calculation</t>
  </si>
  <si>
    <t>ACC levies are not included in the calculation</t>
  </si>
  <si>
    <t>EMTR Tax and Transfers Only</t>
  </si>
  <si>
    <t>EMTR Including Expenses</t>
  </si>
  <si>
    <t>Ratio of how much extra money was earned before transfers in "Pay" to how much extra income you actually got in "Net After Tax and Transfer and Expenses"</t>
  </si>
  <si>
    <t>v3</t>
  </si>
  <si>
    <t>Updated accommodation supplement abatement.  It appears to be 25 cents in the dollar beyond the point you lose all of the benefit (refer below)</t>
  </si>
  <si>
    <t>https://www.legislation.govt.nz/act/public/2018/0032/latest/DLM6784850.html#DLM6784850  sets the thresholds for abatement…...sort of.  It's unclear whether it's the point at which the benefit starts abating, or the point at which the benefit is fully abated</t>
  </si>
  <si>
    <t>https://www.legislation.govt.nz/act/public/2018/0032/latest/DLM6784877.html core rules for accommodation supplement (doesn't mention abatement)</t>
  </si>
  <si>
    <t>Legislation at: https://www.legislation.govt.nz/regulation/public/2018/0202/latest/LMS96265.html  clause 18 - says that non-beneficiaries have their accommodation supplement abated at 25 cents in the dollar</t>
  </si>
  <si>
    <t>https://www.legislation.govt.nz/act/public/2018/0032/latest/DLM6783241.html#DLM6783241 core accommodation supplement legislation</t>
  </si>
  <si>
    <t>https://www.treasury.govt.nz/sites/default/files/2018-03/oia-20170195.pdf   OIA response, indicates that the abatement starts after the benefit is fully abated</t>
  </si>
  <si>
    <t>Income at which benefit entirely cuts out</t>
  </si>
  <si>
    <t>This is the abatement threshold for accommodation supplement to start abating at 25c in the dollar</t>
  </si>
  <si>
    <t>Income subject to abatement</t>
  </si>
  <si>
    <t>Amount of income above the abatement threshold</t>
  </si>
  <si>
    <t>Abated accommodation supplement</t>
  </si>
  <si>
    <t>Accommodation supplement after abatement by 25c in the dollar</t>
  </si>
  <si>
    <t>v4</t>
  </si>
  <si>
    <t>Added calculations for minimum family tax credit and in work tax credit</t>
  </si>
  <si>
    <t>Rules: minimum 20 hours sole parent, 30 hours two parents</t>
  </si>
  <si>
    <t>Second adult hours of work per week</t>
  </si>
  <si>
    <t>Minimum family tax credit working hours?</t>
  </si>
  <si>
    <t>Minimum Family Tax Credit</t>
  </si>
  <si>
    <t>Total hours worked</t>
  </si>
  <si>
    <t>Total hours worked for all people in family</t>
  </si>
  <si>
    <t>Minimum family tax credit second adult hours of work</t>
  </si>
  <si>
    <t>Meets Threshold?</t>
  </si>
  <si>
    <t>Whether or not this family meets the minimum family income threshold</t>
  </si>
  <si>
    <t>Minimum family tax credit gross income threshold</t>
  </si>
  <si>
    <t>Top Up Amount</t>
  </si>
  <si>
    <t>Amount topped up by minimum family tax credit</t>
  </si>
  <si>
    <t>Family tax credits, minimum family tax credits, in work tax credit - working for families.  Note that there is also an in work tax credit that isn't included in this calc</t>
  </si>
  <si>
    <t>Meets rules?</t>
  </si>
  <si>
    <t>Works enough hours, has no benefit income, has children</t>
  </si>
  <si>
    <t>In work tax credit rate</t>
  </si>
  <si>
    <t>Rate for each additional child</t>
  </si>
  <si>
    <t>Base rate 1-3 children</t>
  </si>
  <si>
    <t>Total credit they may be eligible for</t>
  </si>
  <si>
    <t>In work tax credit abatement rate</t>
  </si>
  <si>
    <t>In work tax credit threshold</t>
  </si>
  <si>
    <t>IWTC Abatement</t>
  </si>
  <si>
    <t>IWTC Total</t>
  </si>
  <si>
    <t>Max IWTC</t>
  </si>
  <si>
    <t>Amount abated by</t>
  </si>
  <si>
    <t>IWTC after abatement</t>
  </si>
  <si>
    <t>Tidied up tax calcs - was using 2 incomes for thresholds always, and 17.5% total tax was incorrect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</si>
</sst>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164" formatCode="_(&quot;$&quot;* #,##0_);_(&quot;$&quot;* \(#,##0\);_(&quot;$&quot;* &quot;-&quot;???_);_(@_)"/>
  </numFmts>
  <fonts count="6" x14ac:knownFonts="1">
    <font>
      <sz val="12"/>
      <color theme="1"/>
      <name val="Calibri"/>
      <family val="2"/>
      <scheme val="minor"/>
    </font>
    <font>
      <sz val="12"/>
      <color theme="1"/>
      <name val="Calibri"/>
      <family val="2"/>
      <scheme val="minor"/>
    </font>
    <font>
      <sz val="12"/>
      <color rgb="FFFF0000"/>
      <name val="Calibri"/>
      <family val="2"/>
      <scheme val="minor"/>
    </font>
    <font>
      <b/>
      <sz val="12"/>
      <color theme="1"/>
      <name val="Calibri"/>
      <family val="2"/>
      <scheme val="minor"/>
    </font>
    <font>
      <b/>
      <sz val="14"/>
      <color theme="1"/>
      <name val="Calibri"/>
      <family val="2"/>
      <scheme val="minor"/>
    </font>
    <font>
      <u/>
      <sz val="12"/>
      <color theme="10"/>
      <name val="Calibri"/>
      <family val="2"/>
      <scheme val="minor"/>
    </font>
  </fonts>
  <fills count="9">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cellStyleXfs>
  <cellXfs count="68">
    <xf numFmtId="0" fontId="0" fillId="0" borderId="0" xfId="0"/>
    <xf numFmtId="0" fontId="0" fillId="0" borderId="0" xfId="0" applyAlignment="1">
      <alignment wrapText="1"/>
    </xf>
    <xf numFmtId="0" fontId="0" fillId="0" borderId="0" xfId="0" applyAlignment="1">
      <alignment vertical="center"/>
    </xf>
    <xf numFmtId="0" fontId="0" fillId="0" borderId="0" xfId="0" applyAlignment="1">
      <alignment vertical="center" wrapText="1"/>
    </xf>
    <xf numFmtId="44" fontId="0" fillId="0" borderId="0" xfId="1" applyFont="1"/>
    <xf numFmtId="0" fontId="0" fillId="0" borderId="0" xfId="0" applyAlignment="1">
      <alignment horizontal="center"/>
    </xf>
    <xf numFmtId="0" fontId="0" fillId="0" borderId="0" xfId="0" applyAlignment="1">
      <alignment horizontal="center" wrapText="1"/>
    </xf>
    <xf numFmtId="0" fontId="0" fillId="2" borderId="1" xfId="0" applyFill="1" applyBorder="1"/>
    <xf numFmtId="0" fontId="0" fillId="0" borderId="1" xfId="0" applyBorder="1" applyAlignment="1">
      <alignment horizontal="center"/>
    </xf>
    <xf numFmtId="0" fontId="0" fillId="0" borderId="1" xfId="0" applyBorder="1"/>
    <xf numFmtId="0" fontId="3" fillId="2" borderId="1" xfId="0" applyFont="1" applyFill="1" applyBorder="1"/>
    <xf numFmtId="0" fontId="3" fillId="2" borderId="1" xfId="0" applyFont="1" applyFill="1" applyBorder="1" applyAlignment="1">
      <alignment horizontal="center"/>
    </xf>
    <xf numFmtId="0" fontId="3" fillId="2" borderId="1" xfId="0" applyFont="1" applyFill="1" applyBorder="1" applyAlignment="1">
      <alignment horizontal="center" wrapText="1"/>
    </xf>
    <xf numFmtId="44" fontId="0" fillId="0" borderId="1" xfId="1" applyFont="1" applyBorder="1"/>
    <xf numFmtId="9" fontId="0" fillId="0" borderId="0" xfId="2" applyFont="1" applyAlignment="1">
      <alignment horizontal="center"/>
    </xf>
    <xf numFmtId="0" fontId="3" fillId="2" borderId="1" xfId="0" applyFont="1" applyFill="1" applyBorder="1" applyAlignment="1">
      <alignment wrapText="1"/>
    </xf>
    <xf numFmtId="9" fontId="0" fillId="0" borderId="1" xfId="2" applyFont="1" applyBorder="1" applyAlignment="1">
      <alignment horizontal="center"/>
    </xf>
    <xf numFmtId="44" fontId="0" fillId="0" borderId="0" xfId="0" applyNumberFormat="1"/>
    <xf numFmtId="0" fontId="3" fillId="0" borderId="0" xfId="0" applyFont="1"/>
    <xf numFmtId="0" fontId="0" fillId="0" borderId="0" xfId="0" applyAlignment="1">
      <alignment horizontal="left"/>
    </xf>
    <xf numFmtId="8" fontId="0" fillId="0" borderId="0" xfId="0" applyNumberFormat="1" applyAlignment="1">
      <alignment horizontal="center"/>
    </xf>
    <xf numFmtId="0" fontId="4" fillId="0" borderId="0" xfId="0" applyFont="1"/>
    <xf numFmtId="44" fontId="0" fillId="0" borderId="0" xfId="1" applyFont="1" applyAlignment="1">
      <alignment horizontal="center"/>
    </xf>
    <xf numFmtId="9" fontId="0" fillId="0" borderId="1" xfId="0" applyNumberFormat="1" applyBorder="1"/>
    <xf numFmtId="44" fontId="0" fillId="0" borderId="0" xfId="0" applyNumberFormat="1" applyAlignment="1">
      <alignment horizontal="center"/>
    </xf>
    <xf numFmtId="1" fontId="0" fillId="0" borderId="0" xfId="1" applyNumberFormat="1" applyFont="1" applyAlignment="1">
      <alignment horizontal="center"/>
    </xf>
    <xf numFmtId="8" fontId="0" fillId="0" borderId="1" xfId="0" applyNumberFormat="1" applyBorder="1" applyAlignment="1">
      <alignment horizontal="center"/>
    </xf>
    <xf numFmtId="44" fontId="0" fillId="0" borderId="1" xfId="0" applyNumberFormat="1" applyBorder="1" applyAlignment="1">
      <alignment horizontal="center"/>
    </xf>
    <xf numFmtId="44" fontId="0" fillId="0" borderId="1" xfId="0" applyNumberFormat="1" applyBorder="1"/>
    <xf numFmtId="44" fontId="0" fillId="0" borderId="1" xfId="1" applyFont="1" applyBorder="1" applyAlignment="1">
      <alignment horizontal="center"/>
    </xf>
    <xf numFmtId="0" fontId="5" fillId="0" borderId="0" xfId="3" applyAlignment="1">
      <alignment vertical="center"/>
    </xf>
    <xf numFmtId="0" fontId="2" fillId="0" borderId="0" xfId="0" applyFont="1" applyAlignment="1">
      <alignment horizontal="left"/>
    </xf>
    <xf numFmtId="0" fontId="0" fillId="3" borderId="1" xfId="0" applyFill="1" applyBorder="1" applyAlignment="1">
      <alignment horizontal="left" vertical="center" wrapText="1"/>
    </xf>
    <xf numFmtId="0" fontId="0" fillId="3" borderId="0" xfId="0" applyFill="1" applyAlignment="1">
      <alignment horizontal="left" vertical="center" wrapText="1"/>
    </xf>
    <xf numFmtId="0" fontId="3" fillId="4" borderId="1" xfId="0" applyFont="1" applyFill="1" applyBorder="1" applyAlignment="1">
      <alignment horizontal="center" wrapText="1"/>
    </xf>
    <xf numFmtId="0" fontId="3" fillId="5" borderId="1" xfId="0" applyFont="1" applyFill="1" applyBorder="1" applyAlignment="1">
      <alignment horizontal="center" wrapText="1"/>
    </xf>
    <xf numFmtId="0" fontId="3" fillId="6" borderId="1" xfId="0" applyFont="1" applyFill="1" applyBorder="1" applyAlignment="1">
      <alignment horizontal="center" wrapText="1"/>
    </xf>
    <xf numFmtId="0" fontId="3" fillId="7" borderId="1" xfId="0" applyFont="1" applyFill="1" applyBorder="1" applyAlignment="1">
      <alignment horizontal="center" wrapText="1"/>
    </xf>
    <xf numFmtId="0" fontId="3" fillId="8" borderId="1" xfId="0" applyFont="1" applyFill="1" applyBorder="1" applyAlignment="1">
      <alignment horizontal="center" wrapText="1"/>
    </xf>
    <xf numFmtId="0" fontId="0" fillId="0" borderId="6" xfId="0" applyBorder="1" applyAlignment="1">
      <alignment horizontal="center" wrapText="1"/>
    </xf>
    <xf numFmtId="0" fontId="0" fillId="0" borderId="8" xfId="0" applyBorder="1" applyAlignment="1">
      <alignment horizontal="center"/>
    </xf>
    <xf numFmtId="44" fontId="0" fillId="0" borderId="8" xfId="1" applyFont="1" applyBorder="1" applyAlignment="1">
      <alignment horizontal="center"/>
    </xf>
    <xf numFmtId="44" fontId="0" fillId="0" borderId="10" xfId="1" applyFont="1" applyBorder="1" applyAlignment="1">
      <alignment horizontal="center"/>
    </xf>
    <xf numFmtId="0" fontId="3" fillId="0" borderId="5" xfId="0" applyFont="1" applyBorder="1"/>
    <xf numFmtId="0" fontId="3" fillId="0" borderId="7" xfId="0" applyFont="1" applyBorder="1"/>
    <xf numFmtId="0" fontId="3" fillId="0" borderId="9" xfId="0" applyFont="1" applyBorder="1"/>
    <xf numFmtId="0" fontId="0" fillId="0" borderId="0" xfId="2" applyNumberFormat="1" applyFont="1" applyAlignment="1">
      <alignment horizontal="center"/>
    </xf>
    <xf numFmtId="0" fontId="0" fillId="0" borderId="1" xfId="1" applyNumberFormat="1" applyFont="1" applyBorder="1"/>
    <xf numFmtId="44" fontId="0" fillId="0" borderId="0" xfId="2" applyNumberFormat="1" applyFont="1" applyAlignment="1">
      <alignment horizontal="center"/>
    </xf>
    <xf numFmtId="9" fontId="0" fillId="0" borderId="0" xfId="0" applyNumberFormat="1"/>
    <xf numFmtId="164" fontId="0" fillId="0" borderId="0" xfId="0" applyNumberFormat="1" applyAlignment="1">
      <alignment horizontal="center"/>
    </xf>
    <xf numFmtId="0" fontId="3" fillId="2" borderId="1" xfId="0" applyFont="1" applyFill="1" applyBorder="1" applyAlignment="1">
      <alignment horizontal="center"/>
    </xf>
    <xf numFmtId="0" fontId="3" fillId="2" borderId="3" xfId="0" applyFont="1" applyFill="1" applyBorder="1" applyAlignment="1">
      <alignment horizontal="center"/>
    </xf>
    <xf numFmtId="0" fontId="3" fillId="2" borderId="4" xfId="0" applyFont="1" applyFill="1" applyBorder="1" applyAlignment="1">
      <alignment horizontal="center"/>
    </xf>
    <xf numFmtId="0" fontId="3" fillId="2" borderId="2" xfId="0" applyFont="1" applyFill="1" applyBorder="1" applyAlignment="1">
      <alignment horizontal="center"/>
    </xf>
    <xf numFmtId="0" fontId="3" fillId="8" borderId="3" xfId="0" applyFont="1" applyFill="1" applyBorder="1" applyAlignment="1">
      <alignment horizontal="center"/>
    </xf>
    <xf numFmtId="0" fontId="3" fillId="8" borderId="4" xfId="0" applyFont="1" applyFill="1" applyBorder="1" applyAlignment="1">
      <alignment horizontal="center"/>
    </xf>
    <xf numFmtId="0" fontId="3" fillId="8" borderId="2" xfId="0" applyFont="1" applyFill="1" applyBorder="1" applyAlignment="1">
      <alignment horizontal="center"/>
    </xf>
    <xf numFmtId="0" fontId="3" fillId="4" borderId="3" xfId="0" applyFont="1" applyFill="1" applyBorder="1" applyAlignment="1">
      <alignment horizontal="center"/>
    </xf>
    <xf numFmtId="0" fontId="3" fillId="4" borderId="4" xfId="0" applyFont="1" applyFill="1" applyBorder="1" applyAlignment="1">
      <alignment horizontal="center"/>
    </xf>
    <xf numFmtId="0" fontId="3" fillId="4" borderId="2" xfId="0" applyFont="1" applyFill="1" applyBorder="1" applyAlignment="1">
      <alignment horizontal="center"/>
    </xf>
    <xf numFmtId="0" fontId="3" fillId="5" borderId="1" xfId="0" applyFont="1" applyFill="1" applyBorder="1" applyAlignment="1">
      <alignment horizontal="center"/>
    </xf>
    <xf numFmtId="0" fontId="3" fillId="7" borderId="3" xfId="0" applyFont="1" applyFill="1" applyBorder="1" applyAlignment="1">
      <alignment horizontal="center"/>
    </xf>
    <xf numFmtId="0" fontId="3" fillId="7" borderId="4" xfId="0" applyFont="1" applyFill="1" applyBorder="1" applyAlignment="1">
      <alignment horizontal="center"/>
    </xf>
    <xf numFmtId="0" fontId="3" fillId="7" borderId="2" xfId="0" applyFont="1" applyFill="1" applyBorder="1" applyAlignment="1">
      <alignment horizontal="center"/>
    </xf>
    <xf numFmtId="0" fontId="3" fillId="6" borderId="3" xfId="0" applyFont="1" applyFill="1" applyBorder="1" applyAlignment="1">
      <alignment horizontal="center"/>
    </xf>
    <xf numFmtId="0" fontId="3" fillId="6" borderId="4" xfId="0" applyFont="1" applyFill="1" applyBorder="1" applyAlignment="1">
      <alignment horizontal="center"/>
    </xf>
    <xf numFmtId="0" fontId="3" fillId="6" borderId="2" xfId="0" applyFont="1" applyFill="1" applyBorder="1" applyAlignment="1">
      <alignment horizontal="center"/>
    </xf>
  </cellXfs>
  <cellStyles count="4">
    <cellStyle name="Currency" xfId="1" builtinId="4"/>
    <cellStyle name="Hyperlink" xfId="3" builtinId="8"/>
    <cellStyle name="Normal" xfId="0" builtinId="0"/>
    <cellStyle name="Per 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r>
              <a:rPr lang="en-GB" sz="2400"/>
              <a:t>Returns to increased hours of work</a:t>
            </a:r>
          </a:p>
        </c:rich>
      </c:tx>
      <c:overlay val="0"/>
      <c:spPr>
        <a:noFill/>
        <a:ln>
          <a:noFill/>
        </a:ln>
        <a:effectLst/>
      </c:spPr>
      <c:txPr>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cked"/>
        <c:varyColors val="0"/>
        <c:ser>
          <c:idx val="2"/>
          <c:order val="0"/>
          <c:tx>
            <c:strRef>
              <c:f>'Scenario - Add Hrs'!$K$60</c:f>
              <c:strCache>
                <c:ptCount val="1"/>
                <c:pt idx="0">
                  <c:v>Pay After Tax</c:v>
                </c:pt>
              </c:strCache>
            </c:strRef>
          </c:tx>
          <c:spPr>
            <a:solidFill>
              <a:schemeClr val="accent3"/>
            </a:solidFill>
            <a:ln>
              <a:noFill/>
            </a:ln>
            <a:effectLst/>
          </c:spPr>
          <c:cat>
            <c:numRef>
              <c:f>'Scenario - Add Hrs'!$A$62:$A$122</c:f>
              <c:numCache>
                <c:formatCode>General</c:formatCode>
                <c:ptCount val="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numCache>
            </c:numRef>
          </c:cat>
          <c:val>
            <c:numRef>
              <c:f>'Scenario - Add Hrs'!$K$62:$K$122</c:f>
              <c:numCache>
                <c:formatCode>"$"#,##0.00_);[Red]\("$"#,##0.00\)</c:formatCode>
                <c:ptCount val="61"/>
                <c:pt idx="0">
                  <c:v>0</c:v>
                </c:pt>
                <c:pt idx="1">
                  <c:v>21.063976843523569</c:v>
                </c:pt>
                <c:pt idx="2">
                  <c:v>42.088874470139494</c:v>
                </c:pt>
                <c:pt idx="3">
                  <c:v>63.079688944397461</c:v>
                </c:pt>
                <c:pt idx="4">
                  <c:v>84.040599513296328</c:v>
                </c:pt>
                <c:pt idx="5">
                  <c:v>104.97512898042034</c:v>
                </c:pt>
                <c:pt idx="6">
                  <c:v>125.88626772230262</c:v>
                </c:pt>
                <c:pt idx="7">
                  <c:v>146.79241326913211</c:v>
                </c:pt>
                <c:pt idx="8">
                  <c:v>167.69365451956747</c:v>
                </c:pt>
                <c:pt idx="9">
                  <c:v>188.58141401058677</c:v>
                </c:pt>
                <c:pt idx="10">
                  <c:v>209.45665518378712</c:v>
                </c:pt>
                <c:pt idx="11">
                  <c:v>230.36667439715171</c:v>
                </c:pt>
                <c:pt idx="12">
                  <c:v>251.27099056482768</c:v>
                </c:pt>
                <c:pt idx="13">
                  <c:v>272.1697731625174</c:v>
                </c:pt>
                <c:pt idx="14">
                  <c:v>293.06318501677492</c:v>
                </c:pt>
                <c:pt idx="15">
                  <c:v>313.95138262792705</c:v>
                </c:pt>
                <c:pt idx="16">
                  <c:v>334.83451647435493</c:v>
                </c:pt>
                <c:pt idx="17">
                  <c:v>355.71273129938095</c:v>
                </c:pt>
                <c:pt idx="18">
                  <c:v>376.58616638190983</c:v>
                </c:pt>
                <c:pt idx="19">
                  <c:v>397.45495579188628</c:v>
                </c:pt>
                <c:pt idx="20">
                  <c:v>418.31922863155501</c:v>
                </c:pt>
                <c:pt idx="21">
                  <c:v>439.17910926343438</c:v>
                </c:pt>
                <c:pt idx="22">
                  <c:v>460.03471752585017</c:v>
                </c:pt>
                <c:pt idx="23">
                  <c:v>480.88616893681336</c:v>
                </c:pt>
                <c:pt idx="24">
                  <c:v>501.73357488697218</c:v>
                </c:pt>
                <c:pt idx="25">
                  <c:v>522.57704282231373</c:v>
                </c:pt>
                <c:pt idx="26">
                  <c:v>543.41667641724689</c:v>
                </c:pt>
                <c:pt idx="27">
                  <c:v>564.25257573864985</c:v>
                </c:pt>
                <c:pt idx="28">
                  <c:v>585.08483740143026</c:v>
                </c:pt>
                <c:pt idx="29">
                  <c:v>605.91355471610427</c:v>
                </c:pt>
                <c:pt idx="30">
                  <c:v>626.73881782886758</c:v>
                </c:pt>
                <c:pt idx="31">
                  <c:v>647.56071385460359</c:v>
                </c:pt>
                <c:pt idx="32">
                  <c:v>668.37932700323643</c:v>
                </c:pt>
                <c:pt idx="33">
                  <c:v>689.19473869981653</c:v>
                </c:pt>
                <c:pt idx="34">
                  <c:v>710.0070276986994</c:v>
                </c:pt>
                <c:pt idx="35">
                  <c:v>730.81627019215136</c:v>
                </c:pt>
                <c:pt idx="36">
                  <c:v>750.82711028550864</c:v>
                </c:pt>
                <c:pt idx="37">
                  <c:v>770.68958052031735</c:v>
                </c:pt>
                <c:pt idx="38">
                  <c:v>789.80769230769226</c:v>
                </c:pt>
                <c:pt idx="39">
                  <c:v>807.30769230769226</c:v>
                </c:pt>
                <c:pt idx="40">
                  <c:v>824.80769230769226</c:v>
                </c:pt>
                <c:pt idx="41">
                  <c:v>842.30769230769226</c:v>
                </c:pt>
                <c:pt idx="42">
                  <c:v>859.80769230769226</c:v>
                </c:pt>
                <c:pt idx="43">
                  <c:v>877.30769230769226</c:v>
                </c:pt>
                <c:pt idx="44">
                  <c:v>894.80769230769226</c:v>
                </c:pt>
                <c:pt idx="45">
                  <c:v>912.30769230769226</c:v>
                </c:pt>
                <c:pt idx="46">
                  <c:v>929.80769230769226</c:v>
                </c:pt>
                <c:pt idx="47">
                  <c:v>947.30769230769226</c:v>
                </c:pt>
                <c:pt idx="48">
                  <c:v>964.80769230769226</c:v>
                </c:pt>
                <c:pt idx="49">
                  <c:v>982.30769230769226</c:v>
                </c:pt>
                <c:pt idx="50">
                  <c:v>999.80769230769226</c:v>
                </c:pt>
                <c:pt idx="51">
                  <c:v>1017.3076923076923</c:v>
                </c:pt>
                <c:pt idx="52">
                  <c:v>1034.8076923076924</c:v>
                </c:pt>
                <c:pt idx="53">
                  <c:v>1052.3076923076924</c:v>
                </c:pt>
                <c:pt idx="54">
                  <c:v>1069.6923076923076</c:v>
                </c:pt>
                <c:pt idx="55">
                  <c:v>1086.4423076923076</c:v>
                </c:pt>
                <c:pt idx="56">
                  <c:v>1103.1923076923076</c:v>
                </c:pt>
                <c:pt idx="57">
                  <c:v>1119.9423076923076</c:v>
                </c:pt>
                <c:pt idx="58">
                  <c:v>1136.6923076923076</c:v>
                </c:pt>
                <c:pt idx="59">
                  <c:v>1153.4423076923076</c:v>
                </c:pt>
                <c:pt idx="60">
                  <c:v>1170.1923076923076</c:v>
                </c:pt>
              </c:numCache>
            </c:numRef>
          </c:val>
          <c:extLst>
            <c:ext xmlns:c16="http://schemas.microsoft.com/office/drawing/2014/chart" uri="{C3380CC4-5D6E-409C-BE32-E72D297353CC}">
              <c16:uniqueId val="{00000002-22AC-E546-ADA9-DF250026858C}"/>
            </c:ext>
          </c:extLst>
        </c:ser>
        <c:ser>
          <c:idx val="3"/>
          <c:order val="1"/>
          <c:tx>
            <c:strRef>
              <c:f>'Scenario - Add Hrs'!$L$60</c:f>
              <c:strCache>
                <c:ptCount val="1"/>
                <c:pt idx="0">
                  <c:v>Benefit After Tax</c:v>
                </c:pt>
              </c:strCache>
            </c:strRef>
          </c:tx>
          <c:spPr>
            <a:solidFill>
              <a:schemeClr val="accent4"/>
            </a:solidFill>
            <a:ln>
              <a:noFill/>
            </a:ln>
            <a:effectLst/>
          </c:spPr>
          <c:cat>
            <c:numRef>
              <c:f>'Scenario - Add Hrs'!$A$62:$A$122</c:f>
              <c:numCache>
                <c:formatCode>General</c:formatCode>
                <c:ptCount val="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numCache>
            </c:numRef>
          </c:cat>
          <c:val>
            <c:numRef>
              <c:f>'Scenario - Add Hrs'!$L$62:$L$122</c:f>
              <c:numCache>
                <c:formatCode>"$"#,##0.00_);[Red]\("$"#,##0.00\)</c:formatCode>
                <c:ptCount val="61"/>
                <c:pt idx="0">
                  <c:v>431.53432692307695</c:v>
                </c:pt>
                <c:pt idx="1">
                  <c:v>431.09535007955338</c:v>
                </c:pt>
                <c:pt idx="2">
                  <c:v>430.69545245293745</c:v>
                </c:pt>
                <c:pt idx="3">
                  <c:v>430.32963797867944</c:v>
                </c:pt>
                <c:pt idx="4">
                  <c:v>429.9937274097806</c:v>
                </c:pt>
                <c:pt idx="5">
                  <c:v>429.68419794265651</c:v>
                </c:pt>
                <c:pt idx="6">
                  <c:v>429.39805920077418</c:v>
                </c:pt>
                <c:pt idx="7">
                  <c:v>425.40441365394474</c:v>
                </c:pt>
                <c:pt idx="8">
                  <c:v>418.94067240350944</c:v>
                </c:pt>
                <c:pt idx="9">
                  <c:v>412.49041291249011</c:v>
                </c:pt>
                <c:pt idx="10">
                  <c:v>406.05267173928974</c:v>
                </c:pt>
                <c:pt idx="11">
                  <c:v>391.33015252592514</c:v>
                </c:pt>
                <c:pt idx="12">
                  <c:v>376.61333635824923</c:v>
                </c:pt>
                <c:pt idx="13">
                  <c:v>361.90205376055962</c:v>
                </c:pt>
                <c:pt idx="14">
                  <c:v>347.19614190630205</c:v>
                </c:pt>
                <c:pt idx="15">
                  <c:v>332.49544429514992</c:v>
                </c:pt>
                <c:pt idx="16">
                  <c:v>317.7998104487221</c:v>
                </c:pt>
                <c:pt idx="17">
                  <c:v>303.10909562369602</c:v>
                </c:pt>
                <c:pt idx="18">
                  <c:v>288.42316054116714</c:v>
                </c:pt>
                <c:pt idx="19">
                  <c:v>273.74187113119069</c:v>
                </c:pt>
                <c:pt idx="20">
                  <c:v>259.06509829152202</c:v>
                </c:pt>
                <c:pt idx="21">
                  <c:v>244.39271765964256</c:v>
                </c:pt>
                <c:pt idx="22">
                  <c:v>229.72460939722677</c:v>
                </c:pt>
                <c:pt idx="23">
                  <c:v>215.06065798626358</c:v>
                </c:pt>
                <c:pt idx="24">
                  <c:v>200.40075203610479</c:v>
                </c:pt>
                <c:pt idx="25">
                  <c:v>185.74478410076318</c:v>
                </c:pt>
                <c:pt idx="26">
                  <c:v>171.09265050583008</c:v>
                </c:pt>
                <c:pt idx="27">
                  <c:v>156.44425118442712</c:v>
                </c:pt>
                <c:pt idx="28">
                  <c:v>141.79948952164662</c:v>
                </c:pt>
                <c:pt idx="29">
                  <c:v>127.15827220697275</c:v>
                </c:pt>
                <c:pt idx="30">
                  <c:v>112.52050909420934</c:v>
                </c:pt>
                <c:pt idx="31">
                  <c:v>97.886113068473293</c:v>
                </c:pt>
                <c:pt idx="32">
                  <c:v>83.254999919840614</c:v>
                </c:pt>
                <c:pt idx="33">
                  <c:v>68.627088223260486</c:v>
                </c:pt>
                <c:pt idx="34">
                  <c:v>54.002299224377524</c:v>
                </c:pt>
                <c:pt idx="35">
                  <c:v>39.380556730925619</c:v>
                </c:pt>
                <c:pt idx="36">
                  <c:v>24.735582022183724</c:v>
                </c:pt>
                <c:pt idx="37">
                  <c:v>10.123111787375006</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extLst>
            <c:ext xmlns:c16="http://schemas.microsoft.com/office/drawing/2014/chart" uri="{C3380CC4-5D6E-409C-BE32-E72D297353CC}">
              <c16:uniqueId val="{00000003-22AC-E546-ADA9-DF250026858C}"/>
            </c:ext>
          </c:extLst>
        </c:ser>
        <c:ser>
          <c:idx val="4"/>
          <c:order val="2"/>
          <c:tx>
            <c:strRef>
              <c:f>'Scenario - Add Hrs'!$M$60</c:f>
              <c:strCache>
                <c:ptCount val="1"/>
                <c:pt idx="0">
                  <c:v>Accommodation Supplement</c:v>
                </c:pt>
              </c:strCache>
            </c:strRef>
          </c:tx>
          <c:spPr>
            <a:solidFill>
              <a:schemeClr val="accent5"/>
            </a:solidFill>
            <a:ln w="25400">
              <a:noFill/>
            </a:ln>
            <a:effectLst/>
          </c:spPr>
          <c:cat>
            <c:numRef>
              <c:f>'Scenario - Add Hrs'!$A$62:$A$122</c:f>
              <c:numCache>
                <c:formatCode>General</c:formatCode>
                <c:ptCount val="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numCache>
            </c:numRef>
          </c:cat>
          <c:val>
            <c:numRef>
              <c:f>'Scenario - Add Hrs'!$M$62:$M$122</c:f>
              <c:numCache>
                <c:formatCode>"$"#,##0.00_);[Red]\("$"#,##0.00\)</c:formatCode>
                <c:ptCount val="61"/>
                <c:pt idx="0">
                  <c:v>129.06562500000001</c:v>
                </c:pt>
                <c:pt idx="1">
                  <c:v>129.06562500000001</c:v>
                </c:pt>
                <c:pt idx="2">
                  <c:v>129.06562500000001</c:v>
                </c:pt>
                <c:pt idx="3">
                  <c:v>129.06562500000001</c:v>
                </c:pt>
                <c:pt idx="4">
                  <c:v>129.06562500000001</c:v>
                </c:pt>
                <c:pt idx="5">
                  <c:v>129.06562500000001</c:v>
                </c:pt>
                <c:pt idx="6">
                  <c:v>129.06562500000001</c:v>
                </c:pt>
                <c:pt idx="7">
                  <c:v>129.06562500000001</c:v>
                </c:pt>
                <c:pt idx="8">
                  <c:v>129.06562500000001</c:v>
                </c:pt>
                <c:pt idx="9">
                  <c:v>129.06562500000001</c:v>
                </c:pt>
                <c:pt idx="10">
                  <c:v>129.06562500000001</c:v>
                </c:pt>
                <c:pt idx="11">
                  <c:v>129.06562500000001</c:v>
                </c:pt>
                <c:pt idx="12">
                  <c:v>129.06562500000001</c:v>
                </c:pt>
                <c:pt idx="13">
                  <c:v>129.06562500000001</c:v>
                </c:pt>
                <c:pt idx="14">
                  <c:v>129.06562500000001</c:v>
                </c:pt>
                <c:pt idx="15">
                  <c:v>129.06562500000001</c:v>
                </c:pt>
                <c:pt idx="16">
                  <c:v>129.06562500000001</c:v>
                </c:pt>
                <c:pt idx="17">
                  <c:v>129.06562500000001</c:v>
                </c:pt>
                <c:pt idx="18">
                  <c:v>129.06562500000001</c:v>
                </c:pt>
                <c:pt idx="19">
                  <c:v>129.06562500000001</c:v>
                </c:pt>
                <c:pt idx="20">
                  <c:v>129.06562500000001</c:v>
                </c:pt>
                <c:pt idx="21">
                  <c:v>129.06562500000001</c:v>
                </c:pt>
                <c:pt idx="22">
                  <c:v>129.06562500000001</c:v>
                </c:pt>
                <c:pt idx="23">
                  <c:v>129.06562500000001</c:v>
                </c:pt>
                <c:pt idx="24">
                  <c:v>129.06562500000001</c:v>
                </c:pt>
                <c:pt idx="25">
                  <c:v>129.06562500000001</c:v>
                </c:pt>
                <c:pt idx="26">
                  <c:v>129.06562500000001</c:v>
                </c:pt>
                <c:pt idx="27">
                  <c:v>129.06562500000001</c:v>
                </c:pt>
                <c:pt idx="28">
                  <c:v>129.06562500000001</c:v>
                </c:pt>
                <c:pt idx="29">
                  <c:v>129.06562500000001</c:v>
                </c:pt>
                <c:pt idx="30">
                  <c:v>129.06562500000001</c:v>
                </c:pt>
                <c:pt idx="31">
                  <c:v>129.06562500000001</c:v>
                </c:pt>
                <c:pt idx="32">
                  <c:v>129.06562500000001</c:v>
                </c:pt>
                <c:pt idx="33">
                  <c:v>129.06562500000001</c:v>
                </c:pt>
                <c:pt idx="34">
                  <c:v>129.06562500000001</c:v>
                </c:pt>
                <c:pt idx="35">
                  <c:v>129.06562500000001</c:v>
                </c:pt>
                <c:pt idx="36">
                  <c:v>129.06562500000001</c:v>
                </c:pt>
                <c:pt idx="37">
                  <c:v>129.06562500000001</c:v>
                </c:pt>
                <c:pt idx="38">
                  <c:v>127.15491071428573</c:v>
                </c:pt>
                <c:pt idx="39">
                  <c:v>120.90491071428573</c:v>
                </c:pt>
                <c:pt idx="40">
                  <c:v>114.65491071428573</c:v>
                </c:pt>
                <c:pt idx="41">
                  <c:v>108.40491071428573</c:v>
                </c:pt>
                <c:pt idx="42">
                  <c:v>102.15491071428573</c:v>
                </c:pt>
                <c:pt idx="43">
                  <c:v>95.904910714285734</c:v>
                </c:pt>
                <c:pt idx="44">
                  <c:v>89.654910714285734</c:v>
                </c:pt>
                <c:pt idx="45">
                  <c:v>83.404910714285734</c:v>
                </c:pt>
                <c:pt idx="46">
                  <c:v>77.154910714285734</c:v>
                </c:pt>
                <c:pt idx="47">
                  <c:v>70.904910714285734</c:v>
                </c:pt>
                <c:pt idx="48">
                  <c:v>64.654910714285734</c:v>
                </c:pt>
                <c:pt idx="49">
                  <c:v>58.404910714285734</c:v>
                </c:pt>
                <c:pt idx="50">
                  <c:v>52.154910714285734</c:v>
                </c:pt>
                <c:pt idx="51">
                  <c:v>45.904910714285734</c:v>
                </c:pt>
                <c:pt idx="52">
                  <c:v>39.654910714285734</c:v>
                </c:pt>
                <c:pt idx="53">
                  <c:v>33.404910714285734</c:v>
                </c:pt>
                <c:pt idx="54">
                  <c:v>27.154910714285734</c:v>
                </c:pt>
                <c:pt idx="55">
                  <c:v>20.904910714285734</c:v>
                </c:pt>
                <c:pt idx="56">
                  <c:v>14.654910714285734</c:v>
                </c:pt>
                <c:pt idx="57">
                  <c:v>8.4049107142857338</c:v>
                </c:pt>
                <c:pt idx="58">
                  <c:v>2.1549107142857338</c:v>
                </c:pt>
                <c:pt idx="59">
                  <c:v>0</c:v>
                </c:pt>
                <c:pt idx="60">
                  <c:v>0</c:v>
                </c:pt>
              </c:numCache>
            </c:numRef>
          </c:val>
          <c:extLst>
            <c:ext xmlns:c16="http://schemas.microsoft.com/office/drawing/2014/chart" uri="{C3380CC4-5D6E-409C-BE32-E72D297353CC}">
              <c16:uniqueId val="{00000004-22AC-E546-ADA9-DF250026858C}"/>
            </c:ext>
          </c:extLst>
        </c:ser>
        <c:ser>
          <c:idx val="5"/>
          <c:order val="3"/>
          <c:tx>
            <c:strRef>
              <c:f>'Scenario - Add Hrs'!$N$60</c:f>
              <c:strCache>
                <c:ptCount val="1"/>
                <c:pt idx="0">
                  <c:v>Tax Credits</c:v>
                </c:pt>
              </c:strCache>
            </c:strRef>
          </c:tx>
          <c:spPr>
            <a:solidFill>
              <a:schemeClr val="accent6"/>
            </a:solidFill>
            <a:ln>
              <a:noFill/>
            </a:ln>
            <a:effectLst/>
          </c:spPr>
          <c:cat>
            <c:numRef>
              <c:f>'Scenario - Add Hrs'!$A$62:$A$122</c:f>
              <c:numCache>
                <c:formatCode>General</c:formatCode>
                <c:ptCount val="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numCache>
            </c:numRef>
          </c:cat>
          <c:val>
            <c:numRef>
              <c:f>'Scenario - Add Hrs'!$N$62:$N$122</c:f>
              <c:numCache>
                <c:formatCode>_("$"* #,##0.00_);_("$"* \(#,##0.00\);_("$"* "-"??_);_(@_)</c:formatCode>
                <c:ptCount val="61"/>
                <c:pt idx="0">
                  <c:v>231.81</c:v>
                </c:pt>
                <c:pt idx="1">
                  <c:v>231.81</c:v>
                </c:pt>
                <c:pt idx="2">
                  <c:v>231.81</c:v>
                </c:pt>
                <c:pt idx="3">
                  <c:v>231.81</c:v>
                </c:pt>
                <c:pt idx="4">
                  <c:v>231.81</c:v>
                </c:pt>
                <c:pt idx="5">
                  <c:v>230.55450000000002</c:v>
                </c:pt>
                <c:pt idx="6">
                  <c:v>223.80450000000002</c:v>
                </c:pt>
                <c:pt idx="7">
                  <c:v>218.26949999999999</c:v>
                </c:pt>
                <c:pt idx="8">
                  <c:v>213.5445</c:v>
                </c:pt>
                <c:pt idx="9">
                  <c:v>208.81950000000001</c:v>
                </c:pt>
                <c:pt idx="10">
                  <c:v>204.09450000000001</c:v>
                </c:pt>
                <c:pt idx="11">
                  <c:v>202.06950000000001</c:v>
                </c:pt>
                <c:pt idx="12">
                  <c:v>200.0445</c:v>
                </c:pt>
                <c:pt idx="13">
                  <c:v>198.01949999999999</c:v>
                </c:pt>
                <c:pt idx="14">
                  <c:v>195.99450000000002</c:v>
                </c:pt>
                <c:pt idx="15">
                  <c:v>193.96950000000001</c:v>
                </c:pt>
                <c:pt idx="16">
                  <c:v>191.94450000000001</c:v>
                </c:pt>
                <c:pt idx="17">
                  <c:v>189.9195</c:v>
                </c:pt>
                <c:pt idx="18">
                  <c:v>187.89449999999999</c:v>
                </c:pt>
                <c:pt idx="19">
                  <c:v>185.86950000000002</c:v>
                </c:pt>
                <c:pt idx="20">
                  <c:v>183.84450000000001</c:v>
                </c:pt>
                <c:pt idx="21">
                  <c:v>181.81950000000001</c:v>
                </c:pt>
                <c:pt idx="22">
                  <c:v>179.7945</c:v>
                </c:pt>
                <c:pt idx="23">
                  <c:v>177.76949999999999</c:v>
                </c:pt>
                <c:pt idx="24">
                  <c:v>175.74450000000002</c:v>
                </c:pt>
                <c:pt idx="25">
                  <c:v>173.71950000000001</c:v>
                </c:pt>
                <c:pt idx="26">
                  <c:v>171.69450000000001</c:v>
                </c:pt>
                <c:pt idx="27">
                  <c:v>169.6695</c:v>
                </c:pt>
                <c:pt idx="28">
                  <c:v>167.64449999999999</c:v>
                </c:pt>
                <c:pt idx="29">
                  <c:v>165.61950000000002</c:v>
                </c:pt>
                <c:pt idx="30">
                  <c:v>163.59450000000001</c:v>
                </c:pt>
                <c:pt idx="31">
                  <c:v>161.56950000000001</c:v>
                </c:pt>
                <c:pt idx="32">
                  <c:v>159.5445</c:v>
                </c:pt>
                <c:pt idx="33">
                  <c:v>157.51949999999999</c:v>
                </c:pt>
                <c:pt idx="34">
                  <c:v>155.49450000000002</c:v>
                </c:pt>
                <c:pt idx="35">
                  <c:v>153.46949999999998</c:v>
                </c:pt>
                <c:pt idx="36">
                  <c:v>151.44449999999998</c:v>
                </c:pt>
                <c:pt idx="37">
                  <c:v>149.41949999999997</c:v>
                </c:pt>
                <c:pt idx="38">
                  <c:v>218.45</c:v>
                </c:pt>
                <c:pt idx="39">
                  <c:v>211.7</c:v>
                </c:pt>
                <c:pt idx="40">
                  <c:v>204.95</c:v>
                </c:pt>
                <c:pt idx="41">
                  <c:v>198.2</c:v>
                </c:pt>
                <c:pt idx="42">
                  <c:v>191.45</c:v>
                </c:pt>
                <c:pt idx="43">
                  <c:v>184.7</c:v>
                </c:pt>
                <c:pt idx="44">
                  <c:v>177.95</c:v>
                </c:pt>
                <c:pt idx="45">
                  <c:v>171.2</c:v>
                </c:pt>
                <c:pt idx="46">
                  <c:v>164.45</c:v>
                </c:pt>
                <c:pt idx="47">
                  <c:v>157.69999999999999</c:v>
                </c:pt>
                <c:pt idx="48">
                  <c:v>150.94999999999999</c:v>
                </c:pt>
                <c:pt idx="49">
                  <c:v>144.19999999999999</c:v>
                </c:pt>
                <c:pt idx="50">
                  <c:v>137.44999999999999</c:v>
                </c:pt>
                <c:pt idx="51">
                  <c:v>130.69999999999999</c:v>
                </c:pt>
                <c:pt idx="52">
                  <c:v>123.94999999999999</c:v>
                </c:pt>
                <c:pt idx="53">
                  <c:v>117.19999999999999</c:v>
                </c:pt>
                <c:pt idx="54">
                  <c:v>110.44999999999999</c:v>
                </c:pt>
                <c:pt idx="55">
                  <c:v>103.69999999999999</c:v>
                </c:pt>
                <c:pt idx="56">
                  <c:v>96.949999999999989</c:v>
                </c:pt>
                <c:pt idx="57">
                  <c:v>90.199999999999989</c:v>
                </c:pt>
                <c:pt idx="58">
                  <c:v>83.449999999999989</c:v>
                </c:pt>
                <c:pt idx="59">
                  <c:v>76.699999999999989</c:v>
                </c:pt>
                <c:pt idx="60">
                  <c:v>69.950000000000031</c:v>
                </c:pt>
              </c:numCache>
            </c:numRef>
          </c:val>
          <c:extLst>
            <c:ext xmlns:c16="http://schemas.microsoft.com/office/drawing/2014/chart" uri="{C3380CC4-5D6E-409C-BE32-E72D297353CC}">
              <c16:uniqueId val="{00000005-22AC-E546-ADA9-DF250026858C}"/>
            </c:ext>
          </c:extLst>
        </c:ser>
        <c:ser>
          <c:idx val="6"/>
          <c:order val="4"/>
          <c:tx>
            <c:strRef>
              <c:f>'Scenario - Add Hrs'!$O$60</c:f>
              <c:strCache>
                <c:ptCount val="1"/>
                <c:pt idx="0">
                  <c:v>Childcare Subsidy</c:v>
                </c:pt>
              </c:strCache>
            </c:strRef>
          </c:tx>
          <c:spPr>
            <a:solidFill>
              <a:schemeClr val="accent1">
                <a:lumMod val="60000"/>
              </a:schemeClr>
            </a:solidFill>
            <a:ln>
              <a:noFill/>
            </a:ln>
            <a:effectLst/>
          </c:spPr>
          <c:cat>
            <c:numRef>
              <c:f>'Scenario - Add Hrs'!$A$62:$A$122</c:f>
              <c:numCache>
                <c:formatCode>General</c:formatCode>
                <c:ptCount val="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numCache>
            </c:numRef>
          </c:cat>
          <c:val>
            <c:numRef>
              <c:f>'Scenario - Add Hrs'!$O$62:$O$122</c:f>
              <c:numCache>
                <c:formatCode>_("$"* #,##0.00_);_("$"* \(#,##0.00\);_("$"* "-"??_);_(@_)</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5.69</c:v>
                </c:pt>
                <c:pt idx="22">
                  <c:v>11.38</c:v>
                </c:pt>
                <c:pt idx="23">
                  <c:v>17.07</c:v>
                </c:pt>
                <c:pt idx="24">
                  <c:v>22.76</c:v>
                </c:pt>
                <c:pt idx="25">
                  <c:v>28.450000000000003</c:v>
                </c:pt>
                <c:pt idx="26">
                  <c:v>39.83</c:v>
                </c:pt>
                <c:pt idx="27">
                  <c:v>51.210000000000008</c:v>
                </c:pt>
                <c:pt idx="28">
                  <c:v>62.59</c:v>
                </c:pt>
                <c:pt idx="29">
                  <c:v>73.97</c:v>
                </c:pt>
                <c:pt idx="30">
                  <c:v>85.350000000000009</c:v>
                </c:pt>
                <c:pt idx="31">
                  <c:v>96.73</c:v>
                </c:pt>
                <c:pt idx="32">
                  <c:v>108.11000000000001</c:v>
                </c:pt>
                <c:pt idx="33">
                  <c:v>119.49000000000001</c:v>
                </c:pt>
                <c:pt idx="34">
                  <c:v>130.87</c:v>
                </c:pt>
                <c:pt idx="35">
                  <c:v>142.25</c:v>
                </c:pt>
                <c:pt idx="36">
                  <c:v>153.63</c:v>
                </c:pt>
                <c:pt idx="37">
                  <c:v>165.01</c:v>
                </c:pt>
                <c:pt idx="38">
                  <c:v>176.39</c:v>
                </c:pt>
                <c:pt idx="39">
                  <c:v>149.49</c:v>
                </c:pt>
                <c:pt idx="40">
                  <c:v>158.55000000000001</c:v>
                </c:pt>
                <c:pt idx="41">
                  <c:v>167.61</c:v>
                </c:pt>
                <c:pt idx="42">
                  <c:v>176.67000000000002</c:v>
                </c:pt>
                <c:pt idx="43">
                  <c:v>185.73000000000002</c:v>
                </c:pt>
                <c:pt idx="44">
                  <c:v>194.79000000000002</c:v>
                </c:pt>
                <c:pt idx="45">
                  <c:v>203.85000000000002</c:v>
                </c:pt>
                <c:pt idx="46">
                  <c:v>208.38</c:v>
                </c:pt>
                <c:pt idx="47">
                  <c:v>212.91000000000003</c:v>
                </c:pt>
                <c:pt idx="48">
                  <c:v>217.44</c:v>
                </c:pt>
                <c:pt idx="49">
                  <c:v>221.97000000000003</c:v>
                </c:pt>
                <c:pt idx="50">
                  <c:v>226.5</c:v>
                </c:pt>
                <c:pt idx="51">
                  <c:v>203.85000000000002</c:v>
                </c:pt>
                <c:pt idx="52">
                  <c:v>203.85000000000002</c:v>
                </c:pt>
                <c:pt idx="53">
                  <c:v>203.85000000000002</c:v>
                </c:pt>
                <c:pt idx="54">
                  <c:v>203.85000000000002</c:v>
                </c:pt>
                <c:pt idx="55">
                  <c:v>203.85000000000002</c:v>
                </c:pt>
                <c:pt idx="56">
                  <c:v>203.85000000000002</c:v>
                </c:pt>
                <c:pt idx="57">
                  <c:v>203.85000000000002</c:v>
                </c:pt>
                <c:pt idx="58">
                  <c:v>142.65</c:v>
                </c:pt>
                <c:pt idx="59">
                  <c:v>142.65</c:v>
                </c:pt>
                <c:pt idx="60">
                  <c:v>142.65</c:v>
                </c:pt>
              </c:numCache>
            </c:numRef>
          </c:val>
          <c:extLst>
            <c:ext xmlns:c16="http://schemas.microsoft.com/office/drawing/2014/chart" uri="{C3380CC4-5D6E-409C-BE32-E72D297353CC}">
              <c16:uniqueId val="{00000006-22AC-E546-ADA9-DF250026858C}"/>
            </c:ext>
          </c:extLst>
        </c:ser>
        <c:dLbls>
          <c:showLegendKey val="0"/>
          <c:showVal val="0"/>
          <c:showCatName val="0"/>
          <c:showSerName val="0"/>
          <c:showPercent val="0"/>
          <c:showBubbleSize val="0"/>
        </c:dLbls>
        <c:axId val="244177471"/>
        <c:axId val="90839855"/>
      </c:areaChart>
      <c:lineChart>
        <c:grouping val="standard"/>
        <c:varyColors val="0"/>
        <c:ser>
          <c:idx val="0"/>
          <c:order val="5"/>
          <c:tx>
            <c:strRef>
              <c:f>'Scenario - Add Hrs'!$T$60</c:f>
              <c:strCache>
                <c:ptCount val="1"/>
                <c:pt idx="0">
                  <c:v>Expenses</c:v>
                </c:pt>
              </c:strCache>
            </c:strRef>
          </c:tx>
          <c:spPr>
            <a:ln w="28575" cap="rnd">
              <a:solidFill>
                <a:schemeClr val="accent1"/>
              </a:solidFill>
              <a:round/>
            </a:ln>
            <a:effectLst/>
          </c:spPr>
          <c:marker>
            <c:symbol val="none"/>
          </c:marker>
          <c:val>
            <c:numRef>
              <c:f>'Scenario - Add Hrs'!$T$62:$T$122</c:f>
              <c:numCache>
                <c:formatCode>_("$"* #,##0.00_);_("$"* \(#,##0.00\);_("$"* "-"??_);_(@_)</c:formatCode>
                <c:ptCount val="61"/>
                <c:pt idx="0">
                  <c:v>0</c:v>
                </c:pt>
                <c:pt idx="1">
                  <c:v>3</c:v>
                </c:pt>
                <c:pt idx="2">
                  <c:v>6</c:v>
                </c:pt>
                <c:pt idx="3">
                  <c:v>9</c:v>
                </c:pt>
                <c:pt idx="4">
                  <c:v>12</c:v>
                </c:pt>
                <c:pt idx="5">
                  <c:v>15</c:v>
                </c:pt>
                <c:pt idx="6">
                  <c:v>18</c:v>
                </c:pt>
                <c:pt idx="7">
                  <c:v>21</c:v>
                </c:pt>
                <c:pt idx="8">
                  <c:v>24</c:v>
                </c:pt>
                <c:pt idx="9">
                  <c:v>27</c:v>
                </c:pt>
                <c:pt idx="10">
                  <c:v>30</c:v>
                </c:pt>
                <c:pt idx="11">
                  <c:v>33</c:v>
                </c:pt>
                <c:pt idx="12">
                  <c:v>36</c:v>
                </c:pt>
                <c:pt idx="13">
                  <c:v>39</c:v>
                </c:pt>
                <c:pt idx="14">
                  <c:v>42</c:v>
                </c:pt>
                <c:pt idx="15">
                  <c:v>45</c:v>
                </c:pt>
                <c:pt idx="16">
                  <c:v>48</c:v>
                </c:pt>
                <c:pt idx="17">
                  <c:v>51</c:v>
                </c:pt>
                <c:pt idx="18">
                  <c:v>54</c:v>
                </c:pt>
                <c:pt idx="19">
                  <c:v>57</c:v>
                </c:pt>
                <c:pt idx="20">
                  <c:v>60</c:v>
                </c:pt>
                <c:pt idx="21">
                  <c:v>69</c:v>
                </c:pt>
                <c:pt idx="22">
                  <c:v>78</c:v>
                </c:pt>
                <c:pt idx="23">
                  <c:v>87</c:v>
                </c:pt>
                <c:pt idx="24">
                  <c:v>96</c:v>
                </c:pt>
                <c:pt idx="25">
                  <c:v>105</c:v>
                </c:pt>
                <c:pt idx="26">
                  <c:v>120</c:v>
                </c:pt>
                <c:pt idx="27">
                  <c:v>135</c:v>
                </c:pt>
                <c:pt idx="28">
                  <c:v>150</c:v>
                </c:pt>
                <c:pt idx="29">
                  <c:v>165</c:v>
                </c:pt>
                <c:pt idx="30">
                  <c:v>180</c:v>
                </c:pt>
                <c:pt idx="31">
                  <c:v>195</c:v>
                </c:pt>
                <c:pt idx="32">
                  <c:v>210</c:v>
                </c:pt>
                <c:pt idx="33">
                  <c:v>225</c:v>
                </c:pt>
                <c:pt idx="34">
                  <c:v>240</c:v>
                </c:pt>
                <c:pt idx="35">
                  <c:v>255</c:v>
                </c:pt>
                <c:pt idx="36">
                  <c:v>270</c:v>
                </c:pt>
                <c:pt idx="37">
                  <c:v>285</c:v>
                </c:pt>
                <c:pt idx="38">
                  <c:v>300</c:v>
                </c:pt>
                <c:pt idx="39">
                  <c:v>315</c:v>
                </c:pt>
                <c:pt idx="40">
                  <c:v>330</c:v>
                </c:pt>
                <c:pt idx="41">
                  <c:v>345</c:v>
                </c:pt>
                <c:pt idx="42">
                  <c:v>360</c:v>
                </c:pt>
                <c:pt idx="43">
                  <c:v>375</c:v>
                </c:pt>
                <c:pt idx="44">
                  <c:v>390</c:v>
                </c:pt>
                <c:pt idx="45">
                  <c:v>405</c:v>
                </c:pt>
                <c:pt idx="46">
                  <c:v>414</c:v>
                </c:pt>
                <c:pt idx="47">
                  <c:v>423</c:v>
                </c:pt>
                <c:pt idx="48">
                  <c:v>432</c:v>
                </c:pt>
                <c:pt idx="49">
                  <c:v>441</c:v>
                </c:pt>
                <c:pt idx="50">
                  <c:v>450</c:v>
                </c:pt>
                <c:pt idx="51">
                  <c:v>423</c:v>
                </c:pt>
                <c:pt idx="52">
                  <c:v>426</c:v>
                </c:pt>
                <c:pt idx="53">
                  <c:v>429</c:v>
                </c:pt>
                <c:pt idx="54">
                  <c:v>432</c:v>
                </c:pt>
                <c:pt idx="55">
                  <c:v>435</c:v>
                </c:pt>
                <c:pt idx="56">
                  <c:v>438</c:v>
                </c:pt>
                <c:pt idx="57">
                  <c:v>441</c:v>
                </c:pt>
                <c:pt idx="58">
                  <c:v>444</c:v>
                </c:pt>
                <c:pt idx="59">
                  <c:v>447</c:v>
                </c:pt>
                <c:pt idx="60">
                  <c:v>450</c:v>
                </c:pt>
              </c:numCache>
            </c:numRef>
          </c:val>
          <c:smooth val="0"/>
          <c:extLst>
            <c:ext xmlns:c16="http://schemas.microsoft.com/office/drawing/2014/chart" uri="{C3380CC4-5D6E-409C-BE32-E72D297353CC}">
              <c16:uniqueId val="{00000007-22AC-E546-ADA9-DF250026858C}"/>
            </c:ext>
          </c:extLst>
        </c:ser>
        <c:ser>
          <c:idx val="7"/>
          <c:order val="6"/>
          <c:tx>
            <c:strRef>
              <c:f>'Scenario - Add Hrs'!$U$60</c:f>
              <c:strCache>
                <c:ptCount val="1"/>
                <c:pt idx="0">
                  <c:v>Net After Tax, Transfer and Expenses</c:v>
                </c:pt>
              </c:strCache>
            </c:strRef>
          </c:tx>
          <c:spPr>
            <a:ln w="28575" cap="rnd">
              <a:solidFill>
                <a:schemeClr val="accent2">
                  <a:lumMod val="60000"/>
                </a:schemeClr>
              </a:solidFill>
              <a:round/>
            </a:ln>
            <a:effectLst/>
          </c:spPr>
          <c:marker>
            <c:symbol val="none"/>
          </c:marker>
          <c:val>
            <c:numRef>
              <c:f>'Scenario - Add Hrs'!$U$62:$U$122</c:f>
              <c:numCache>
                <c:formatCode>"$"#,##0.00_);[Red]\("$"#,##0.00\)</c:formatCode>
                <c:ptCount val="61"/>
                <c:pt idx="0">
                  <c:v>792.40995192307696</c:v>
                </c:pt>
                <c:pt idx="1">
                  <c:v>810.03495192307696</c:v>
                </c:pt>
                <c:pt idx="2">
                  <c:v>827.65995192307696</c:v>
                </c:pt>
                <c:pt idx="3">
                  <c:v>845.28495192307696</c:v>
                </c:pt>
                <c:pt idx="4">
                  <c:v>862.90995192307696</c:v>
                </c:pt>
                <c:pt idx="5">
                  <c:v>879.27945192307675</c:v>
                </c:pt>
                <c:pt idx="6">
                  <c:v>890.15445192307675</c:v>
                </c:pt>
                <c:pt idx="7">
                  <c:v>898.53195192307692</c:v>
                </c:pt>
                <c:pt idx="8">
                  <c:v>905.24445192307689</c:v>
                </c:pt>
                <c:pt idx="9">
                  <c:v>911.95695192307699</c:v>
                </c:pt>
                <c:pt idx="10">
                  <c:v>918.66945192307696</c:v>
                </c:pt>
                <c:pt idx="11">
                  <c:v>919.83195192307699</c:v>
                </c:pt>
                <c:pt idx="12">
                  <c:v>920.99445192307689</c:v>
                </c:pt>
                <c:pt idx="13">
                  <c:v>922.15695192307692</c:v>
                </c:pt>
                <c:pt idx="14">
                  <c:v>923.31945192307694</c:v>
                </c:pt>
                <c:pt idx="15">
                  <c:v>924.48195192307696</c:v>
                </c:pt>
                <c:pt idx="16">
                  <c:v>925.64445192307699</c:v>
                </c:pt>
                <c:pt idx="17">
                  <c:v>926.80695192307689</c:v>
                </c:pt>
                <c:pt idx="18">
                  <c:v>927.96945192307692</c:v>
                </c:pt>
                <c:pt idx="19">
                  <c:v>929.13195192307694</c:v>
                </c:pt>
                <c:pt idx="20">
                  <c:v>930.29445192307696</c:v>
                </c:pt>
                <c:pt idx="21">
                  <c:v>931.14695192307704</c:v>
                </c:pt>
                <c:pt idx="22">
                  <c:v>931.99945192307689</c:v>
                </c:pt>
                <c:pt idx="23">
                  <c:v>932.85195192307697</c:v>
                </c:pt>
                <c:pt idx="24">
                  <c:v>933.70445192307693</c:v>
                </c:pt>
                <c:pt idx="25">
                  <c:v>934.55695192307689</c:v>
                </c:pt>
                <c:pt idx="26">
                  <c:v>935.09945192307691</c:v>
                </c:pt>
                <c:pt idx="27">
                  <c:v>935.64195192307693</c:v>
                </c:pt>
                <c:pt idx="28">
                  <c:v>936.18445192307695</c:v>
                </c:pt>
                <c:pt idx="29">
                  <c:v>936.72695192307697</c:v>
                </c:pt>
                <c:pt idx="30">
                  <c:v>937.26945192307676</c:v>
                </c:pt>
                <c:pt idx="31">
                  <c:v>937.811951923077</c:v>
                </c:pt>
                <c:pt idx="32">
                  <c:v>938.35445192307679</c:v>
                </c:pt>
                <c:pt idx="33">
                  <c:v>938.89695192307704</c:v>
                </c:pt>
                <c:pt idx="34">
                  <c:v>939.43945192307683</c:v>
                </c:pt>
                <c:pt idx="35">
                  <c:v>939.98195192307685</c:v>
                </c:pt>
                <c:pt idx="36">
                  <c:v>939.70281730769238</c:v>
                </c:pt>
                <c:pt idx="37">
                  <c:v>939.3078173076924</c:v>
                </c:pt>
                <c:pt idx="38">
                  <c:v>1011.802603021978</c:v>
                </c:pt>
                <c:pt idx="39">
                  <c:v>974.40260302197794</c:v>
                </c:pt>
                <c:pt idx="40">
                  <c:v>972.96260302197788</c:v>
                </c:pt>
                <c:pt idx="41">
                  <c:v>971.52260302197783</c:v>
                </c:pt>
                <c:pt idx="42">
                  <c:v>970.082603021978</c:v>
                </c:pt>
                <c:pt idx="43">
                  <c:v>968.64260302197795</c:v>
                </c:pt>
                <c:pt idx="44">
                  <c:v>967.20260302197789</c:v>
                </c:pt>
                <c:pt idx="45">
                  <c:v>965.76260302197807</c:v>
                </c:pt>
                <c:pt idx="46">
                  <c:v>965.79260302197781</c:v>
                </c:pt>
                <c:pt idx="47">
                  <c:v>965.82260302197801</c:v>
                </c:pt>
                <c:pt idx="48">
                  <c:v>965.85260302197798</c:v>
                </c:pt>
                <c:pt idx="49">
                  <c:v>965.88260302197796</c:v>
                </c:pt>
                <c:pt idx="50">
                  <c:v>965.91260302197793</c:v>
                </c:pt>
                <c:pt idx="51">
                  <c:v>974.76260302197807</c:v>
                </c:pt>
                <c:pt idx="52">
                  <c:v>976.26260302197807</c:v>
                </c:pt>
                <c:pt idx="53">
                  <c:v>977.76260302197807</c:v>
                </c:pt>
                <c:pt idx="54">
                  <c:v>979.14721840659331</c:v>
                </c:pt>
                <c:pt idx="55">
                  <c:v>979.89721840659331</c:v>
                </c:pt>
                <c:pt idx="56">
                  <c:v>980.64721840659331</c:v>
                </c:pt>
                <c:pt idx="57">
                  <c:v>981.39721840659331</c:v>
                </c:pt>
                <c:pt idx="58">
                  <c:v>920.94721840659349</c:v>
                </c:pt>
                <c:pt idx="59">
                  <c:v>925.79230769230776</c:v>
                </c:pt>
                <c:pt idx="60">
                  <c:v>932.79230769230776</c:v>
                </c:pt>
              </c:numCache>
            </c:numRef>
          </c:val>
          <c:smooth val="0"/>
          <c:extLst>
            <c:ext xmlns:c16="http://schemas.microsoft.com/office/drawing/2014/chart" uri="{C3380CC4-5D6E-409C-BE32-E72D297353CC}">
              <c16:uniqueId val="{00000008-22AC-E546-ADA9-DF250026858C}"/>
            </c:ext>
          </c:extLst>
        </c:ser>
        <c:dLbls>
          <c:showLegendKey val="0"/>
          <c:showVal val="0"/>
          <c:showCatName val="0"/>
          <c:showSerName val="0"/>
          <c:showPercent val="0"/>
          <c:showBubbleSize val="0"/>
        </c:dLbls>
        <c:marker val="1"/>
        <c:smooth val="0"/>
        <c:axId val="244177471"/>
        <c:axId val="90839855"/>
      </c:lineChart>
      <c:catAx>
        <c:axId val="244177471"/>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GB" sz="1400"/>
                  <a:t>Hours of Work Per Week</a:t>
                </a:r>
              </a:p>
            </c:rich>
          </c:tx>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0839855"/>
        <c:crosses val="autoZero"/>
        <c:auto val="1"/>
        <c:lblAlgn val="ctr"/>
        <c:lblOffset val="100"/>
        <c:tickLblSkip val="2"/>
        <c:noMultiLvlLbl val="0"/>
      </c:catAx>
      <c:valAx>
        <c:axId val="9083985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GB" sz="1400"/>
                  <a:t>Weekly After Tax Income</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24417747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n-GB" sz="2000"/>
              <a:t>Returns to increased hourly pay rate</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cked"/>
        <c:varyColors val="0"/>
        <c:ser>
          <c:idx val="2"/>
          <c:order val="0"/>
          <c:tx>
            <c:strRef>
              <c:f>'Scenario - Add Pay'!$K$60</c:f>
              <c:strCache>
                <c:ptCount val="1"/>
                <c:pt idx="0">
                  <c:v>Pay After Tax</c:v>
                </c:pt>
              </c:strCache>
            </c:strRef>
          </c:tx>
          <c:spPr>
            <a:solidFill>
              <a:schemeClr val="accent3"/>
            </a:solidFill>
            <a:ln>
              <a:noFill/>
            </a:ln>
            <a:effectLst/>
          </c:spPr>
          <c:cat>
            <c:numRef>
              <c:f>'Scenario - Add Pay'!$A$62:$A$122</c:f>
              <c:numCache>
                <c:formatCode>General</c:formatCode>
                <c:ptCount val="61"/>
                <c:pt idx="0">
                  <c:v>21</c:v>
                </c:pt>
                <c:pt idx="1">
                  <c:v>22</c:v>
                </c:pt>
                <c:pt idx="2">
                  <c:v>23</c:v>
                </c:pt>
                <c:pt idx="3">
                  <c:v>24</c:v>
                </c:pt>
                <c:pt idx="4">
                  <c:v>25</c:v>
                </c:pt>
                <c:pt idx="5">
                  <c:v>26</c:v>
                </c:pt>
                <c:pt idx="6">
                  <c:v>27</c:v>
                </c:pt>
                <c:pt idx="7">
                  <c:v>28</c:v>
                </c:pt>
                <c:pt idx="8">
                  <c:v>29</c:v>
                </c:pt>
                <c:pt idx="9">
                  <c:v>30</c:v>
                </c:pt>
                <c:pt idx="10">
                  <c:v>31</c:v>
                </c:pt>
                <c:pt idx="11">
                  <c:v>32</c:v>
                </c:pt>
                <c:pt idx="12">
                  <c:v>33</c:v>
                </c:pt>
                <c:pt idx="13">
                  <c:v>34</c:v>
                </c:pt>
                <c:pt idx="14">
                  <c:v>35</c:v>
                </c:pt>
                <c:pt idx="15">
                  <c:v>36</c:v>
                </c:pt>
                <c:pt idx="16">
                  <c:v>37</c:v>
                </c:pt>
                <c:pt idx="17">
                  <c:v>38</c:v>
                </c:pt>
                <c:pt idx="18">
                  <c:v>39</c:v>
                </c:pt>
                <c:pt idx="19">
                  <c:v>40</c:v>
                </c:pt>
                <c:pt idx="20">
                  <c:v>41</c:v>
                </c:pt>
                <c:pt idx="21">
                  <c:v>42</c:v>
                </c:pt>
                <c:pt idx="22">
                  <c:v>43</c:v>
                </c:pt>
                <c:pt idx="23">
                  <c:v>44</c:v>
                </c:pt>
                <c:pt idx="24">
                  <c:v>45</c:v>
                </c:pt>
                <c:pt idx="25">
                  <c:v>46</c:v>
                </c:pt>
                <c:pt idx="26">
                  <c:v>47</c:v>
                </c:pt>
                <c:pt idx="27">
                  <c:v>48</c:v>
                </c:pt>
                <c:pt idx="28">
                  <c:v>49</c:v>
                </c:pt>
                <c:pt idx="29">
                  <c:v>50</c:v>
                </c:pt>
                <c:pt idx="30">
                  <c:v>51</c:v>
                </c:pt>
                <c:pt idx="31">
                  <c:v>52</c:v>
                </c:pt>
                <c:pt idx="32">
                  <c:v>53</c:v>
                </c:pt>
                <c:pt idx="33">
                  <c:v>54</c:v>
                </c:pt>
                <c:pt idx="34">
                  <c:v>55</c:v>
                </c:pt>
                <c:pt idx="35">
                  <c:v>56</c:v>
                </c:pt>
                <c:pt idx="36">
                  <c:v>57</c:v>
                </c:pt>
                <c:pt idx="37">
                  <c:v>58</c:v>
                </c:pt>
                <c:pt idx="38">
                  <c:v>59</c:v>
                </c:pt>
                <c:pt idx="39">
                  <c:v>60</c:v>
                </c:pt>
                <c:pt idx="40">
                  <c:v>61</c:v>
                </c:pt>
                <c:pt idx="41">
                  <c:v>62</c:v>
                </c:pt>
                <c:pt idx="42">
                  <c:v>63</c:v>
                </c:pt>
                <c:pt idx="43">
                  <c:v>64</c:v>
                </c:pt>
                <c:pt idx="44">
                  <c:v>65</c:v>
                </c:pt>
                <c:pt idx="45">
                  <c:v>66</c:v>
                </c:pt>
                <c:pt idx="46">
                  <c:v>67</c:v>
                </c:pt>
                <c:pt idx="47">
                  <c:v>68</c:v>
                </c:pt>
                <c:pt idx="48">
                  <c:v>69</c:v>
                </c:pt>
                <c:pt idx="49">
                  <c:v>70</c:v>
                </c:pt>
                <c:pt idx="50">
                  <c:v>71</c:v>
                </c:pt>
                <c:pt idx="51">
                  <c:v>72</c:v>
                </c:pt>
                <c:pt idx="52">
                  <c:v>73</c:v>
                </c:pt>
                <c:pt idx="53">
                  <c:v>74</c:v>
                </c:pt>
                <c:pt idx="54">
                  <c:v>75</c:v>
                </c:pt>
                <c:pt idx="55">
                  <c:v>76</c:v>
                </c:pt>
                <c:pt idx="56">
                  <c:v>77</c:v>
                </c:pt>
                <c:pt idx="57">
                  <c:v>78</c:v>
                </c:pt>
                <c:pt idx="58">
                  <c:v>79</c:v>
                </c:pt>
                <c:pt idx="59">
                  <c:v>80</c:v>
                </c:pt>
                <c:pt idx="60">
                  <c:v>81</c:v>
                </c:pt>
              </c:numCache>
            </c:numRef>
          </c:cat>
          <c:val>
            <c:numRef>
              <c:f>'Scenario - Add Pay'!$K$62:$K$122</c:f>
              <c:numCache>
                <c:formatCode>"$"#,##0.00_);[Red]\("$"#,##0.00\)</c:formatCode>
                <c:ptCount val="61"/>
                <c:pt idx="0">
                  <c:v>351.53747509411602</c:v>
                </c:pt>
                <c:pt idx="1">
                  <c:v>368.23735722371481</c:v>
                </c:pt>
                <c:pt idx="2">
                  <c:v>384.93423228811554</c:v>
                </c:pt>
                <c:pt idx="3">
                  <c:v>401.62816763899332</c:v>
                </c:pt>
                <c:pt idx="4">
                  <c:v>418.31922863155501</c:v>
                </c:pt>
                <c:pt idx="5">
                  <c:v>435.0074786979709</c:v>
                </c:pt>
                <c:pt idx="6">
                  <c:v>451.69297941758839</c:v>
                </c:pt>
                <c:pt idx="7">
                  <c:v>468.37579058409119</c:v>
                </c:pt>
                <c:pt idx="8">
                  <c:v>485.05597026975909</c:v>
                </c:pt>
                <c:pt idx="9">
                  <c:v>501.73357488697218</c:v>
                </c:pt>
                <c:pt idx="10">
                  <c:v>518.40865924709703</c:v>
                </c:pt>
                <c:pt idx="11">
                  <c:v>535.08127661688388</c:v>
                </c:pt>
                <c:pt idx="12">
                  <c:v>551.75147877249549</c:v>
                </c:pt>
                <c:pt idx="13">
                  <c:v>568.41931605128502</c:v>
                </c:pt>
                <c:pt idx="14">
                  <c:v>585.08483740143026</c:v>
                </c:pt>
                <c:pt idx="15">
                  <c:v>601.748090429527</c:v>
                </c:pt>
                <c:pt idx="16">
                  <c:v>618.40912144623928</c:v>
                </c:pt>
                <c:pt idx="17">
                  <c:v>635.06797551009788</c:v>
                </c:pt>
                <c:pt idx="18">
                  <c:v>651.72469646953505</c:v>
                </c:pt>
                <c:pt idx="19">
                  <c:v>668.37932700323643</c:v>
                </c:pt>
                <c:pt idx="20">
                  <c:v>685.03190865888917</c:v>
                </c:pt>
                <c:pt idx="21">
                  <c:v>701.6824818904015</c:v>
                </c:pt>
                <c:pt idx="22">
                  <c:v>718.331086093659</c:v>
                </c:pt>
                <c:pt idx="23">
                  <c:v>734.90951034566046</c:v>
                </c:pt>
                <c:pt idx="24">
                  <c:v>750.82711028550864</c:v>
                </c:pt>
                <c:pt idx="25">
                  <c:v>766.72011641433971</c:v>
                </c:pt>
                <c:pt idx="26">
                  <c:v>782.58899885226003</c:v>
                </c:pt>
                <c:pt idx="27">
                  <c:v>796.80769230769226</c:v>
                </c:pt>
                <c:pt idx="28">
                  <c:v>810.80769230769226</c:v>
                </c:pt>
                <c:pt idx="29">
                  <c:v>824.80769230769226</c:v>
                </c:pt>
                <c:pt idx="30">
                  <c:v>838.80769230769226</c:v>
                </c:pt>
                <c:pt idx="31">
                  <c:v>852.80769230769226</c:v>
                </c:pt>
                <c:pt idx="32">
                  <c:v>866.80769230769226</c:v>
                </c:pt>
                <c:pt idx="33">
                  <c:v>880.80769230769226</c:v>
                </c:pt>
                <c:pt idx="34">
                  <c:v>894.80769230769226</c:v>
                </c:pt>
                <c:pt idx="35">
                  <c:v>908.80769230769226</c:v>
                </c:pt>
                <c:pt idx="36">
                  <c:v>922.80769230769226</c:v>
                </c:pt>
                <c:pt idx="37">
                  <c:v>936.80769230769226</c:v>
                </c:pt>
                <c:pt idx="38">
                  <c:v>950.80769230769226</c:v>
                </c:pt>
                <c:pt idx="39">
                  <c:v>964.80769230769226</c:v>
                </c:pt>
                <c:pt idx="40">
                  <c:v>978.80769230769226</c:v>
                </c:pt>
                <c:pt idx="41">
                  <c:v>992.80769230769226</c:v>
                </c:pt>
                <c:pt idx="42">
                  <c:v>1006.8076923076923</c:v>
                </c:pt>
                <c:pt idx="43">
                  <c:v>1020.8076923076923</c:v>
                </c:pt>
                <c:pt idx="44">
                  <c:v>1034.8076923076924</c:v>
                </c:pt>
                <c:pt idx="45">
                  <c:v>1048.8076923076924</c:v>
                </c:pt>
                <c:pt idx="46">
                  <c:v>1062.8076923076924</c:v>
                </c:pt>
                <c:pt idx="47">
                  <c:v>1063.7</c:v>
                </c:pt>
                <c:pt idx="48">
                  <c:v>1077.0999999999999</c:v>
                </c:pt>
                <c:pt idx="49">
                  <c:v>1090.5</c:v>
                </c:pt>
                <c:pt idx="50">
                  <c:v>1103.9000000000001</c:v>
                </c:pt>
                <c:pt idx="51">
                  <c:v>1117.3</c:v>
                </c:pt>
                <c:pt idx="52">
                  <c:v>1130.7</c:v>
                </c:pt>
                <c:pt idx="53">
                  <c:v>1144.0999999999999</c:v>
                </c:pt>
                <c:pt idx="54">
                  <c:v>1157.5</c:v>
                </c:pt>
                <c:pt idx="55">
                  <c:v>1170.9000000000001</c:v>
                </c:pt>
                <c:pt idx="56">
                  <c:v>1184.3</c:v>
                </c:pt>
                <c:pt idx="57">
                  <c:v>1197.7</c:v>
                </c:pt>
                <c:pt idx="58">
                  <c:v>1211.0999999999999</c:v>
                </c:pt>
                <c:pt idx="59">
                  <c:v>1224.5</c:v>
                </c:pt>
                <c:pt idx="60">
                  <c:v>1237.9000000000001</c:v>
                </c:pt>
              </c:numCache>
            </c:numRef>
          </c:val>
          <c:extLst>
            <c:ext xmlns:c16="http://schemas.microsoft.com/office/drawing/2014/chart" uri="{C3380CC4-5D6E-409C-BE32-E72D297353CC}">
              <c16:uniqueId val="{00000000-028B-1D4F-8BDE-C62E56A8B843}"/>
            </c:ext>
          </c:extLst>
        </c:ser>
        <c:ser>
          <c:idx val="3"/>
          <c:order val="1"/>
          <c:tx>
            <c:strRef>
              <c:f>'Scenario - Add Pay'!$L$60</c:f>
              <c:strCache>
                <c:ptCount val="1"/>
                <c:pt idx="0">
                  <c:v>Benefit After Tax</c:v>
                </c:pt>
              </c:strCache>
            </c:strRef>
          </c:tx>
          <c:spPr>
            <a:solidFill>
              <a:schemeClr val="accent4"/>
            </a:solidFill>
            <a:ln>
              <a:noFill/>
            </a:ln>
            <a:effectLst/>
          </c:spPr>
          <c:cat>
            <c:numRef>
              <c:f>'Scenario - Add Pay'!$A$62:$A$122</c:f>
              <c:numCache>
                <c:formatCode>General</c:formatCode>
                <c:ptCount val="61"/>
                <c:pt idx="0">
                  <c:v>21</c:v>
                </c:pt>
                <c:pt idx="1">
                  <c:v>22</c:v>
                </c:pt>
                <c:pt idx="2">
                  <c:v>23</c:v>
                </c:pt>
                <c:pt idx="3">
                  <c:v>24</c:v>
                </c:pt>
                <c:pt idx="4">
                  <c:v>25</c:v>
                </c:pt>
                <c:pt idx="5">
                  <c:v>26</c:v>
                </c:pt>
                <c:pt idx="6">
                  <c:v>27</c:v>
                </c:pt>
                <c:pt idx="7">
                  <c:v>28</c:v>
                </c:pt>
                <c:pt idx="8">
                  <c:v>29</c:v>
                </c:pt>
                <c:pt idx="9">
                  <c:v>30</c:v>
                </c:pt>
                <c:pt idx="10">
                  <c:v>31</c:v>
                </c:pt>
                <c:pt idx="11">
                  <c:v>32</c:v>
                </c:pt>
                <c:pt idx="12">
                  <c:v>33</c:v>
                </c:pt>
                <c:pt idx="13">
                  <c:v>34</c:v>
                </c:pt>
                <c:pt idx="14">
                  <c:v>35</c:v>
                </c:pt>
                <c:pt idx="15">
                  <c:v>36</c:v>
                </c:pt>
                <c:pt idx="16">
                  <c:v>37</c:v>
                </c:pt>
                <c:pt idx="17">
                  <c:v>38</c:v>
                </c:pt>
                <c:pt idx="18">
                  <c:v>39</c:v>
                </c:pt>
                <c:pt idx="19">
                  <c:v>40</c:v>
                </c:pt>
                <c:pt idx="20">
                  <c:v>41</c:v>
                </c:pt>
                <c:pt idx="21">
                  <c:v>42</c:v>
                </c:pt>
                <c:pt idx="22">
                  <c:v>43</c:v>
                </c:pt>
                <c:pt idx="23">
                  <c:v>44</c:v>
                </c:pt>
                <c:pt idx="24">
                  <c:v>45</c:v>
                </c:pt>
                <c:pt idx="25">
                  <c:v>46</c:v>
                </c:pt>
                <c:pt idx="26">
                  <c:v>47</c:v>
                </c:pt>
                <c:pt idx="27">
                  <c:v>48</c:v>
                </c:pt>
                <c:pt idx="28">
                  <c:v>49</c:v>
                </c:pt>
                <c:pt idx="29">
                  <c:v>50</c:v>
                </c:pt>
                <c:pt idx="30">
                  <c:v>51</c:v>
                </c:pt>
                <c:pt idx="31">
                  <c:v>52</c:v>
                </c:pt>
                <c:pt idx="32">
                  <c:v>53</c:v>
                </c:pt>
                <c:pt idx="33">
                  <c:v>54</c:v>
                </c:pt>
                <c:pt idx="34">
                  <c:v>55</c:v>
                </c:pt>
                <c:pt idx="35">
                  <c:v>56</c:v>
                </c:pt>
                <c:pt idx="36">
                  <c:v>57</c:v>
                </c:pt>
                <c:pt idx="37">
                  <c:v>58</c:v>
                </c:pt>
                <c:pt idx="38">
                  <c:v>59</c:v>
                </c:pt>
                <c:pt idx="39">
                  <c:v>60</c:v>
                </c:pt>
                <c:pt idx="40">
                  <c:v>61</c:v>
                </c:pt>
                <c:pt idx="41">
                  <c:v>62</c:v>
                </c:pt>
                <c:pt idx="42">
                  <c:v>63</c:v>
                </c:pt>
                <c:pt idx="43">
                  <c:v>64</c:v>
                </c:pt>
                <c:pt idx="44">
                  <c:v>65</c:v>
                </c:pt>
                <c:pt idx="45">
                  <c:v>66</c:v>
                </c:pt>
                <c:pt idx="46">
                  <c:v>67</c:v>
                </c:pt>
                <c:pt idx="47">
                  <c:v>68</c:v>
                </c:pt>
                <c:pt idx="48">
                  <c:v>69</c:v>
                </c:pt>
                <c:pt idx="49">
                  <c:v>70</c:v>
                </c:pt>
                <c:pt idx="50">
                  <c:v>71</c:v>
                </c:pt>
                <c:pt idx="51">
                  <c:v>72</c:v>
                </c:pt>
                <c:pt idx="52">
                  <c:v>73</c:v>
                </c:pt>
                <c:pt idx="53">
                  <c:v>74</c:v>
                </c:pt>
                <c:pt idx="54">
                  <c:v>75</c:v>
                </c:pt>
                <c:pt idx="55">
                  <c:v>76</c:v>
                </c:pt>
                <c:pt idx="56">
                  <c:v>77</c:v>
                </c:pt>
                <c:pt idx="57">
                  <c:v>78</c:v>
                </c:pt>
                <c:pt idx="58">
                  <c:v>79</c:v>
                </c:pt>
                <c:pt idx="59">
                  <c:v>80</c:v>
                </c:pt>
                <c:pt idx="60">
                  <c:v>81</c:v>
                </c:pt>
              </c:numCache>
            </c:numRef>
          </c:cat>
          <c:val>
            <c:numRef>
              <c:f>'Scenario - Add Pay'!$L$62:$L$122</c:f>
              <c:numCache>
                <c:formatCode>"$"#,##0.00_);[Red]\("$"#,##0.00\)</c:formatCode>
                <c:ptCount val="61"/>
                <c:pt idx="0">
                  <c:v>306.04685182896077</c:v>
                </c:pt>
                <c:pt idx="1">
                  <c:v>294.29696969936208</c:v>
                </c:pt>
                <c:pt idx="2">
                  <c:v>282.55009463496134</c:v>
                </c:pt>
                <c:pt idx="3">
                  <c:v>270.80615928408366</c:v>
                </c:pt>
                <c:pt idx="4">
                  <c:v>259.06509829152202</c:v>
                </c:pt>
                <c:pt idx="5">
                  <c:v>247.32684822510592</c:v>
                </c:pt>
                <c:pt idx="6">
                  <c:v>235.59134750548841</c:v>
                </c:pt>
                <c:pt idx="7">
                  <c:v>223.85853633898572</c:v>
                </c:pt>
                <c:pt idx="8">
                  <c:v>212.12835665331789</c:v>
                </c:pt>
                <c:pt idx="9">
                  <c:v>200.40075203610479</c:v>
                </c:pt>
                <c:pt idx="10">
                  <c:v>188.67566767597975</c:v>
                </c:pt>
                <c:pt idx="11">
                  <c:v>176.95305030619292</c:v>
                </c:pt>
                <c:pt idx="12">
                  <c:v>165.23284815058139</c:v>
                </c:pt>
                <c:pt idx="13">
                  <c:v>153.51501087179187</c:v>
                </c:pt>
                <c:pt idx="14">
                  <c:v>141.79948952164662</c:v>
                </c:pt>
                <c:pt idx="15">
                  <c:v>130.08623649354979</c:v>
                </c:pt>
                <c:pt idx="16">
                  <c:v>118.37520547683754</c:v>
                </c:pt>
                <c:pt idx="17">
                  <c:v>106.66635141297893</c:v>
                </c:pt>
                <c:pt idx="18">
                  <c:v>94.959630453541862</c:v>
                </c:pt>
                <c:pt idx="19">
                  <c:v>83.254999919840614</c:v>
                </c:pt>
                <c:pt idx="20">
                  <c:v>71.552418264187608</c:v>
                </c:pt>
                <c:pt idx="21">
                  <c:v>59.851845032675307</c:v>
                </c:pt>
                <c:pt idx="22">
                  <c:v>48.153240829417932</c:v>
                </c:pt>
                <c:pt idx="23">
                  <c:v>36.453181962031884</c:v>
                </c:pt>
                <c:pt idx="24">
                  <c:v>24.735582022183724</c:v>
                </c:pt>
                <c:pt idx="25">
                  <c:v>13.042575893352655</c:v>
                </c:pt>
                <c:pt idx="26">
                  <c:v>1.3736934554321869</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extLst>
            <c:ext xmlns:c16="http://schemas.microsoft.com/office/drawing/2014/chart" uri="{C3380CC4-5D6E-409C-BE32-E72D297353CC}">
              <c16:uniqueId val="{00000001-028B-1D4F-8BDE-C62E56A8B843}"/>
            </c:ext>
          </c:extLst>
        </c:ser>
        <c:ser>
          <c:idx val="4"/>
          <c:order val="2"/>
          <c:tx>
            <c:strRef>
              <c:f>'Scenario - Add Pay'!$M$60</c:f>
              <c:strCache>
                <c:ptCount val="1"/>
                <c:pt idx="0">
                  <c:v>Accommodation Supplement</c:v>
                </c:pt>
              </c:strCache>
            </c:strRef>
          </c:tx>
          <c:spPr>
            <a:solidFill>
              <a:schemeClr val="accent5"/>
            </a:solidFill>
            <a:ln w="25400">
              <a:noFill/>
            </a:ln>
            <a:effectLst/>
          </c:spPr>
          <c:cat>
            <c:numRef>
              <c:f>'Scenario - Add Pay'!$A$62:$A$122</c:f>
              <c:numCache>
                <c:formatCode>General</c:formatCode>
                <c:ptCount val="61"/>
                <c:pt idx="0">
                  <c:v>21</c:v>
                </c:pt>
                <c:pt idx="1">
                  <c:v>22</c:v>
                </c:pt>
                <c:pt idx="2">
                  <c:v>23</c:v>
                </c:pt>
                <c:pt idx="3">
                  <c:v>24</c:v>
                </c:pt>
                <c:pt idx="4">
                  <c:v>25</c:v>
                </c:pt>
                <c:pt idx="5">
                  <c:v>26</c:v>
                </c:pt>
                <c:pt idx="6">
                  <c:v>27</c:v>
                </c:pt>
                <c:pt idx="7">
                  <c:v>28</c:v>
                </c:pt>
                <c:pt idx="8">
                  <c:v>29</c:v>
                </c:pt>
                <c:pt idx="9">
                  <c:v>30</c:v>
                </c:pt>
                <c:pt idx="10">
                  <c:v>31</c:v>
                </c:pt>
                <c:pt idx="11">
                  <c:v>32</c:v>
                </c:pt>
                <c:pt idx="12">
                  <c:v>33</c:v>
                </c:pt>
                <c:pt idx="13">
                  <c:v>34</c:v>
                </c:pt>
                <c:pt idx="14">
                  <c:v>35</c:v>
                </c:pt>
                <c:pt idx="15">
                  <c:v>36</c:v>
                </c:pt>
                <c:pt idx="16">
                  <c:v>37</c:v>
                </c:pt>
                <c:pt idx="17">
                  <c:v>38</c:v>
                </c:pt>
                <c:pt idx="18">
                  <c:v>39</c:v>
                </c:pt>
                <c:pt idx="19">
                  <c:v>40</c:v>
                </c:pt>
                <c:pt idx="20">
                  <c:v>41</c:v>
                </c:pt>
                <c:pt idx="21">
                  <c:v>42</c:v>
                </c:pt>
                <c:pt idx="22">
                  <c:v>43</c:v>
                </c:pt>
                <c:pt idx="23">
                  <c:v>44</c:v>
                </c:pt>
                <c:pt idx="24">
                  <c:v>45</c:v>
                </c:pt>
                <c:pt idx="25">
                  <c:v>46</c:v>
                </c:pt>
                <c:pt idx="26">
                  <c:v>47</c:v>
                </c:pt>
                <c:pt idx="27">
                  <c:v>48</c:v>
                </c:pt>
                <c:pt idx="28">
                  <c:v>49</c:v>
                </c:pt>
                <c:pt idx="29">
                  <c:v>50</c:v>
                </c:pt>
                <c:pt idx="30">
                  <c:v>51</c:v>
                </c:pt>
                <c:pt idx="31">
                  <c:v>52</c:v>
                </c:pt>
                <c:pt idx="32">
                  <c:v>53</c:v>
                </c:pt>
                <c:pt idx="33">
                  <c:v>54</c:v>
                </c:pt>
                <c:pt idx="34">
                  <c:v>55</c:v>
                </c:pt>
                <c:pt idx="35">
                  <c:v>56</c:v>
                </c:pt>
                <c:pt idx="36">
                  <c:v>57</c:v>
                </c:pt>
                <c:pt idx="37">
                  <c:v>58</c:v>
                </c:pt>
                <c:pt idx="38">
                  <c:v>59</c:v>
                </c:pt>
                <c:pt idx="39">
                  <c:v>60</c:v>
                </c:pt>
                <c:pt idx="40">
                  <c:v>61</c:v>
                </c:pt>
                <c:pt idx="41">
                  <c:v>62</c:v>
                </c:pt>
                <c:pt idx="42">
                  <c:v>63</c:v>
                </c:pt>
                <c:pt idx="43">
                  <c:v>64</c:v>
                </c:pt>
                <c:pt idx="44">
                  <c:v>65</c:v>
                </c:pt>
                <c:pt idx="45">
                  <c:v>66</c:v>
                </c:pt>
                <c:pt idx="46">
                  <c:v>67</c:v>
                </c:pt>
                <c:pt idx="47">
                  <c:v>68</c:v>
                </c:pt>
                <c:pt idx="48">
                  <c:v>69</c:v>
                </c:pt>
                <c:pt idx="49">
                  <c:v>70</c:v>
                </c:pt>
                <c:pt idx="50">
                  <c:v>71</c:v>
                </c:pt>
                <c:pt idx="51">
                  <c:v>72</c:v>
                </c:pt>
                <c:pt idx="52">
                  <c:v>73</c:v>
                </c:pt>
                <c:pt idx="53">
                  <c:v>74</c:v>
                </c:pt>
                <c:pt idx="54">
                  <c:v>75</c:v>
                </c:pt>
                <c:pt idx="55">
                  <c:v>76</c:v>
                </c:pt>
                <c:pt idx="56">
                  <c:v>77</c:v>
                </c:pt>
                <c:pt idx="57">
                  <c:v>78</c:v>
                </c:pt>
                <c:pt idx="58">
                  <c:v>79</c:v>
                </c:pt>
                <c:pt idx="59">
                  <c:v>80</c:v>
                </c:pt>
                <c:pt idx="60">
                  <c:v>81</c:v>
                </c:pt>
              </c:numCache>
            </c:numRef>
          </c:cat>
          <c:val>
            <c:numRef>
              <c:f>'Scenario - Add Pay'!$M$62:$M$122</c:f>
              <c:numCache>
                <c:formatCode>"$"#,##0.00_);[Red]\("$"#,##0.00\)</c:formatCode>
                <c:ptCount val="61"/>
                <c:pt idx="0">
                  <c:v>129.06562500000001</c:v>
                </c:pt>
                <c:pt idx="1">
                  <c:v>129.06562500000001</c:v>
                </c:pt>
                <c:pt idx="2">
                  <c:v>129.06562500000001</c:v>
                </c:pt>
                <c:pt idx="3">
                  <c:v>129.06562500000001</c:v>
                </c:pt>
                <c:pt idx="4">
                  <c:v>129.06562500000001</c:v>
                </c:pt>
                <c:pt idx="5">
                  <c:v>129.06562500000001</c:v>
                </c:pt>
                <c:pt idx="6">
                  <c:v>129.06562500000001</c:v>
                </c:pt>
                <c:pt idx="7">
                  <c:v>129.06562500000001</c:v>
                </c:pt>
                <c:pt idx="8">
                  <c:v>129.06562500000001</c:v>
                </c:pt>
                <c:pt idx="9">
                  <c:v>129.06562500000001</c:v>
                </c:pt>
                <c:pt idx="10">
                  <c:v>129.06562500000001</c:v>
                </c:pt>
                <c:pt idx="11">
                  <c:v>129.06562500000001</c:v>
                </c:pt>
                <c:pt idx="12">
                  <c:v>129.06562500000001</c:v>
                </c:pt>
                <c:pt idx="13">
                  <c:v>129.06562500000001</c:v>
                </c:pt>
                <c:pt idx="14">
                  <c:v>129.06562500000001</c:v>
                </c:pt>
                <c:pt idx="15">
                  <c:v>129.06562500000001</c:v>
                </c:pt>
                <c:pt idx="16">
                  <c:v>129.06562500000001</c:v>
                </c:pt>
                <c:pt idx="17">
                  <c:v>129.06562500000001</c:v>
                </c:pt>
                <c:pt idx="18">
                  <c:v>129.06562500000001</c:v>
                </c:pt>
                <c:pt idx="19">
                  <c:v>129.06562500000001</c:v>
                </c:pt>
                <c:pt idx="20">
                  <c:v>129.06562500000001</c:v>
                </c:pt>
                <c:pt idx="21">
                  <c:v>129.06562500000001</c:v>
                </c:pt>
                <c:pt idx="22">
                  <c:v>129.06562500000001</c:v>
                </c:pt>
                <c:pt idx="23">
                  <c:v>129.06562500000001</c:v>
                </c:pt>
                <c:pt idx="24">
                  <c:v>129.06562500000001</c:v>
                </c:pt>
                <c:pt idx="25">
                  <c:v>129.06562500000001</c:v>
                </c:pt>
                <c:pt idx="26">
                  <c:v>129.06562500000001</c:v>
                </c:pt>
                <c:pt idx="27">
                  <c:v>124.65491071428573</c:v>
                </c:pt>
                <c:pt idx="28">
                  <c:v>119.65491071428573</c:v>
                </c:pt>
                <c:pt idx="29">
                  <c:v>114.65491071428573</c:v>
                </c:pt>
                <c:pt idx="30">
                  <c:v>109.65491071428573</c:v>
                </c:pt>
                <c:pt idx="31">
                  <c:v>104.65491071428573</c:v>
                </c:pt>
                <c:pt idx="32">
                  <c:v>99.654910714285734</c:v>
                </c:pt>
                <c:pt idx="33">
                  <c:v>94.654910714285734</c:v>
                </c:pt>
                <c:pt idx="34">
                  <c:v>89.654910714285734</c:v>
                </c:pt>
                <c:pt idx="35">
                  <c:v>84.654910714285734</c:v>
                </c:pt>
                <c:pt idx="36">
                  <c:v>79.654910714285734</c:v>
                </c:pt>
                <c:pt idx="37">
                  <c:v>74.654910714285734</c:v>
                </c:pt>
                <c:pt idx="38">
                  <c:v>69.654910714285734</c:v>
                </c:pt>
                <c:pt idx="39">
                  <c:v>64.654910714285734</c:v>
                </c:pt>
                <c:pt idx="40">
                  <c:v>59.654910714285734</c:v>
                </c:pt>
                <c:pt idx="41">
                  <c:v>54.654910714285734</c:v>
                </c:pt>
                <c:pt idx="42">
                  <c:v>49.654910714285734</c:v>
                </c:pt>
                <c:pt idx="43">
                  <c:v>44.654910714285734</c:v>
                </c:pt>
                <c:pt idx="44">
                  <c:v>39.654910714285734</c:v>
                </c:pt>
                <c:pt idx="45">
                  <c:v>34.654910714285734</c:v>
                </c:pt>
                <c:pt idx="46">
                  <c:v>29.654910714285734</c:v>
                </c:pt>
                <c:pt idx="47">
                  <c:v>24.654910714285734</c:v>
                </c:pt>
                <c:pt idx="48">
                  <c:v>19.654910714285734</c:v>
                </c:pt>
                <c:pt idx="49">
                  <c:v>14.654910714285734</c:v>
                </c:pt>
                <c:pt idx="50">
                  <c:v>9.6549107142857338</c:v>
                </c:pt>
                <c:pt idx="51">
                  <c:v>4.6549107142857338</c:v>
                </c:pt>
                <c:pt idx="52">
                  <c:v>0</c:v>
                </c:pt>
                <c:pt idx="53">
                  <c:v>0</c:v>
                </c:pt>
                <c:pt idx="54">
                  <c:v>0</c:v>
                </c:pt>
                <c:pt idx="55">
                  <c:v>0</c:v>
                </c:pt>
                <c:pt idx="56">
                  <c:v>0</c:v>
                </c:pt>
                <c:pt idx="57">
                  <c:v>0</c:v>
                </c:pt>
                <c:pt idx="58">
                  <c:v>0</c:v>
                </c:pt>
                <c:pt idx="59">
                  <c:v>0</c:v>
                </c:pt>
                <c:pt idx="60">
                  <c:v>0</c:v>
                </c:pt>
              </c:numCache>
            </c:numRef>
          </c:val>
          <c:extLst>
            <c:ext xmlns:c16="http://schemas.microsoft.com/office/drawing/2014/chart" uri="{C3380CC4-5D6E-409C-BE32-E72D297353CC}">
              <c16:uniqueId val="{00000002-028B-1D4F-8BDE-C62E56A8B843}"/>
            </c:ext>
          </c:extLst>
        </c:ser>
        <c:ser>
          <c:idx val="5"/>
          <c:order val="3"/>
          <c:tx>
            <c:strRef>
              <c:f>'Scenario - Add Pay'!$N$60</c:f>
              <c:strCache>
                <c:ptCount val="1"/>
                <c:pt idx="0">
                  <c:v>Tax Credits</c:v>
                </c:pt>
              </c:strCache>
            </c:strRef>
          </c:tx>
          <c:spPr>
            <a:solidFill>
              <a:schemeClr val="accent6"/>
            </a:solidFill>
            <a:ln>
              <a:noFill/>
            </a:ln>
            <a:effectLst/>
          </c:spPr>
          <c:cat>
            <c:numRef>
              <c:f>'Scenario - Add Pay'!$A$62:$A$122</c:f>
              <c:numCache>
                <c:formatCode>General</c:formatCode>
                <c:ptCount val="61"/>
                <c:pt idx="0">
                  <c:v>21</c:v>
                </c:pt>
                <c:pt idx="1">
                  <c:v>22</c:v>
                </c:pt>
                <c:pt idx="2">
                  <c:v>23</c:v>
                </c:pt>
                <c:pt idx="3">
                  <c:v>24</c:v>
                </c:pt>
                <c:pt idx="4">
                  <c:v>25</c:v>
                </c:pt>
                <c:pt idx="5">
                  <c:v>26</c:v>
                </c:pt>
                <c:pt idx="6">
                  <c:v>27</c:v>
                </c:pt>
                <c:pt idx="7">
                  <c:v>28</c:v>
                </c:pt>
                <c:pt idx="8">
                  <c:v>29</c:v>
                </c:pt>
                <c:pt idx="9">
                  <c:v>30</c:v>
                </c:pt>
                <c:pt idx="10">
                  <c:v>31</c:v>
                </c:pt>
                <c:pt idx="11">
                  <c:v>32</c:v>
                </c:pt>
                <c:pt idx="12">
                  <c:v>33</c:v>
                </c:pt>
                <c:pt idx="13">
                  <c:v>34</c:v>
                </c:pt>
                <c:pt idx="14">
                  <c:v>35</c:v>
                </c:pt>
                <c:pt idx="15">
                  <c:v>36</c:v>
                </c:pt>
                <c:pt idx="16">
                  <c:v>37</c:v>
                </c:pt>
                <c:pt idx="17">
                  <c:v>38</c:v>
                </c:pt>
                <c:pt idx="18">
                  <c:v>39</c:v>
                </c:pt>
                <c:pt idx="19">
                  <c:v>40</c:v>
                </c:pt>
                <c:pt idx="20">
                  <c:v>41</c:v>
                </c:pt>
                <c:pt idx="21">
                  <c:v>42</c:v>
                </c:pt>
                <c:pt idx="22">
                  <c:v>43</c:v>
                </c:pt>
                <c:pt idx="23">
                  <c:v>44</c:v>
                </c:pt>
                <c:pt idx="24">
                  <c:v>45</c:v>
                </c:pt>
                <c:pt idx="25">
                  <c:v>46</c:v>
                </c:pt>
                <c:pt idx="26">
                  <c:v>47</c:v>
                </c:pt>
                <c:pt idx="27">
                  <c:v>48</c:v>
                </c:pt>
                <c:pt idx="28">
                  <c:v>49</c:v>
                </c:pt>
                <c:pt idx="29">
                  <c:v>50</c:v>
                </c:pt>
                <c:pt idx="30">
                  <c:v>51</c:v>
                </c:pt>
                <c:pt idx="31">
                  <c:v>52</c:v>
                </c:pt>
                <c:pt idx="32">
                  <c:v>53</c:v>
                </c:pt>
                <c:pt idx="33">
                  <c:v>54</c:v>
                </c:pt>
                <c:pt idx="34">
                  <c:v>55</c:v>
                </c:pt>
                <c:pt idx="35">
                  <c:v>56</c:v>
                </c:pt>
                <c:pt idx="36">
                  <c:v>57</c:v>
                </c:pt>
                <c:pt idx="37">
                  <c:v>58</c:v>
                </c:pt>
                <c:pt idx="38">
                  <c:v>59</c:v>
                </c:pt>
                <c:pt idx="39">
                  <c:v>60</c:v>
                </c:pt>
                <c:pt idx="40">
                  <c:v>61</c:v>
                </c:pt>
                <c:pt idx="41">
                  <c:v>62</c:v>
                </c:pt>
                <c:pt idx="42">
                  <c:v>63</c:v>
                </c:pt>
                <c:pt idx="43">
                  <c:v>64</c:v>
                </c:pt>
                <c:pt idx="44">
                  <c:v>65</c:v>
                </c:pt>
                <c:pt idx="45">
                  <c:v>66</c:v>
                </c:pt>
                <c:pt idx="46">
                  <c:v>67</c:v>
                </c:pt>
                <c:pt idx="47">
                  <c:v>68</c:v>
                </c:pt>
                <c:pt idx="48">
                  <c:v>69</c:v>
                </c:pt>
                <c:pt idx="49">
                  <c:v>70</c:v>
                </c:pt>
                <c:pt idx="50">
                  <c:v>71</c:v>
                </c:pt>
                <c:pt idx="51">
                  <c:v>72</c:v>
                </c:pt>
                <c:pt idx="52">
                  <c:v>73</c:v>
                </c:pt>
                <c:pt idx="53">
                  <c:v>74</c:v>
                </c:pt>
                <c:pt idx="54">
                  <c:v>75</c:v>
                </c:pt>
                <c:pt idx="55">
                  <c:v>76</c:v>
                </c:pt>
                <c:pt idx="56">
                  <c:v>77</c:v>
                </c:pt>
                <c:pt idx="57">
                  <c:v>78</c:v>
                </c:pt>
                <c:pt idx="58">
                  <c:v>79</c:v>
                </c:pt>
                <c:pt idx="59">
                  <c:v>80</c:v>
                </c:pt>
                <c:pt idx="60">
                  <c:v>81</c:v>
                </c:pt>
              </c:numCache>
            </c:numRef>
          </c:cat>
          <c:val>
            <c:numRef>
              <c:f>'Scenario - Add Pay'!$N$62:$N$122</c:f>
              <c:numCache>
                <c:formatCode>_("$"* #,##0.00_);_("$"* \(#,##0.00\);_("$"* "-"??_);_(@_)</c:formatCode>
                <c:ptCount val="61"/>
                <c:pt idx="0">
                  <c:v>190.3245</c:v>
                </c:pt>
                <c:pt idx="1">
                  <c:v>188.7045</c:v>
                </c:pt>
                <c:pt idx="2">
                  <c:v>187.08449999999999</c:v>
                </c:pt>
                <c:pt idx="3">
                  <c:v>185.46450000000002</c:v>
                </c:pt>
                <c:pt idx="4">
                  <c:v>183.84450000000001</c:v>
                </c:pt>
                <c:pt idx="5">
                  <c:v>182.22450000000001</c:v>
                </c:pt>
                <c:pt idx="6">
                  <c:v>180.6045</c:v>
                </c:pt>
                <c:pt idx="7">
                  <c:v>178.9845</c:v>
                </c:pt>
                <c:pt idx="8">
                  <c:v>177.36450000000002</c:v>
                </c:pt>
                <c:pt idx="9">
                  <c:v>175.74450000000002</c:v>
                </c:pt>
                <c:pt idx="10">
                  <c:v>174.12450000000001</c:v>
                </c:pt>
                <c:pt idx="11">
                  <c:v>172.50450000000001</c:v>
                </c:pt>
                <c:pt idx="12">
                  <c:v>170.8845</c:v>
                </c:pt>
                <c:pt idx="13">
                  <c:v>169.2645</c:v>
                </c:pt>
                <c:pt idx="14">
                  <c:v>167.64449999999999</c:v>
                </c:pt>
                <c:pt idx="15">
                  <c:v>166.02449999999999</c:v>
                </c:pt>
                <c:pt idx="16">
                  <c:v>164.40449999999998</c:v>
                </c:pt>
                <c:pt idx="17">
                  <c:v>162.78450000000001</c:v>
                </c:pt>
                <c:pt idx="18">
                  <c:v>161.1645</c:v>
                </c:pt>
                <c:pt idx="19">
                  <c:v>159.5445</c:v>
                </c:pt>
                <c:pt idx="20">
                  <c:v>157.92450000000002</c:v>
                </c:pt>
                <c:pt idx="21">
                  <c:v>156.30450000000002</c:v>
                </c:pt>
                <c:pt idx="22">
                  <c:v>154.68450000000001</c:v>
                </c:pt>
                <c:pt idx="23">
                  <c:v>153.06450000000001</c:v>
                </c:pt>
                <c:pt idx="24">
                  <c:v>151.44449999999998</c:v>
                </c:pt>
                <c:pt idx="25">
                  <c:v>149.82449999999997</c:v>
                </c:pt>
                <c:pt idx="26">
                  <c:v>148.20449999999997</c:v>
                </c:pt>
                <c:pt idx="27">
                  <c:v>215.75</c:v>
                </c:pt>
                <c:pt idx="28">
                  <c:v>210.35</c:v>
                </c:pt>
                <c:pt idx="29">
                  <c:v>204.95</c:v>
                </c:pt>
                <c:pt idx="30">
                  <c:v>199.55</c:v>
                </c:pt>
                <c:pt idx="31">
                  <c:v>194.14999999999998</c:v>
                </c:pt>
                <c:pt idx="32">
                  <c:v>188.75</c:v>
                </c:pt>
                <c:pt idx="33">
                  <c:v>183.35</c:v>
                </c:pt>
                <c:pt idx="34">
                  <c:v>177.95</c:v>
                </c:pt>
                <c:pt idx="35">
                  <c:v>172.54999999999998</c:v>
                </c:pt>
                <c:pt idx="36">
                  <c:v>167.15</c:v>
                </c:pt>
                <c:pt idx="37">
                  <c:v>161.75</c:v>
                </c:pt>
                <c:pt idx="38">
                  <c:v>156.35</c:v>
                </c:pt>
                <c:pt idx="39">
                  <c:v>150.94999999999999</c:v>
                </c:pt>
                <c:pt idx="40">
                  <c:v>145.54999999999998</c:v>
                </c:pt>
                <c:pt idx="41">
                  <c:v>140.14999999999998</c:v>
                </c:pt>
                <c:pt idx="42">
                  <c:v>134.75</c:v>
                </c:pt>
                <c:pt idx="43">
                  <c:v>129.35</c:v>
                </c:pt>
                <c:pt idx="44">
                  <c:v>123.94999999999999</c:v>
                </c:pt>
                <c:pt idx="45">
                  <c:v>118.54999999999998</c:v>
                </c:pt>
                <c:pt idx="46">
                  <c:v>113.14999999999998</c:v>
                </c:pt>
                <c:pt idx="47">
                  <c:v>107.75</c:v>
                </c:pt>
                <c:pt idx="48">
                  <c:v>102.35</c:v>
                </c:pt>
                <c:pt idx="49">
                  <c:v>96.949999999999989</c:v>
                </c:pt>
                <c:pt idx="50">
                  <c:v>91.549999999999983</c:v>
                </c:pt>
                <c:pt idx="51">
                  <c:v>86.149999999999977</c:v>
                </c:pt>
                <c:pt idx="52">
                  <c:v>80.75</c:v>
                </c:pt>
                <c:pt idx="53">
                  <c:v>75.349999999999994</c:v>
                </c:pt>
                <c:pt idx="54">
                  <c:v>69.950000000000031</c:v>
                </c:pt>
                <c:pt idx="55">
                  <c:v>64.550000000000026</c:v>
                </c:pt>
                <c:pt idx="56">
                  <c:v>59.150000000000027</c:v>
                </c:pt>
                <c:pt idx="57">
                  <c:v>53.750000000000028</c:v>
                </c:pt>
                <c:pt idx="58">
                  <c:v>48.350000000000023</c:v>
                </c:pt>
                <c:pt idx="59">
                  <c:v>42.950000000000024</c:v>
                </c:pt>
                <c:pt idx="60">
                  <c:v>37.550000000000026</c:v>
                </c:pt>
              </c:numCache>
            </c:numRef>
          </c:val>
          <c:extLst>
            <c:ext xmlns:c16="http://schemas.microsoft.com/office/drawing/2014/chart" uri="{C3380CC4-5D6E-409C-BE32-E72D297353CC}">
              <c16:uniqueId val="{00000003-028B-1D4F-8BDE-C62E56A8B843}"/>
            </c:ext>
          </c:extLst>
        </c:ser>
        <c:ser>
          <c:idx val="6"/>
          <c:order val="4"/>
          <c:tx>
            <c:strRef>
              <c:f>'Scenario - Add Pay'!$O$60</c:f>
              <c:strCache>
                <c:ptCount val="1"/>
                <c:pt idx="0">
                  <c:v>Childcare Subsidy</c:v>
                </c:pt>
              </c:strCache>
            </c:strRef>
          </c:tx>
          <c:spPr>
            <a:solidFill>
              <a:schemeClr val="accent1">
                <a:lumMod val="60000"/>
              </a:schemeClr>
            </a:solidFill>
            <a:ln>
              <a:noFill/>
            </a:ln>
            <a:effectLst/>
          </c:spPr>
          <c:cat>
            <c:numRef>
              <c:f>'Scenario - Add Pay'!$A$62:$A$122</c:f>
              <c:numCache>
                <c:formatCode>General</c:formatCode>
                <c:ptCount val="61"/>
                <c:pt idx="0">
                  <c:v>21</c:v>
                </c:pt>
                <c:pt idx="1">
                  <c:v>22</c:v>
                </c:pt>
                <c:pt idx="2">
                  <c:v>23</c:v>
                </c:pt>
                <c:pt idx="3">
                  <c:v>24</c:v>
                </c:pt>
                <c:pt idx="4">
                  <c:v>25</c:v>
                </c:pt>
                <c:pt idx="5">
                  <c:v>26</c:v>
                </c:pt>
                <c:pt idx="6">
                  <c:v>27</c:v>
                </c:pt>
                <c:pt idx="7">
                  <c:v>28</c:v>
                </c:pt>
                <c:pt idx="8">
                  <c:v>29</c:v>
                </c:pt>
                <c:pt idx="9">
                  <c:v>30</c:v>
                </c:pt>
                <c:pt idx="10">
                  <c:v>31</c:v>
                </c:pt>
                <c:pt idx="11">
                  <c:v>32</c:v>
                </c:pt>
                <c:pt idx="12">
                  <c:v>33</c:v>
                </c:pt>
                <c:pt idx="13">
                  <c:v>34</c:v>
                </c:pt>
                <c:pt idx="14">
                  <c:v>35</c:v>
                </c:pt>
                <c:pt idx="15">
                  <c:v>36</c:v>
                </c:pt>
                <c:pt idx="16">
                  <c:v>37</c:v>
                </c:pt>
                <c:pt idx="17">
                  <c:v>38</c:v>
                </c:pt>
                <c:pt idx="18">
                  <c:v>39</c:v>
                </c:pt>
                <c:pt idx="19">
                  <c:v>40</c:v>
                </c:pt>
                <c:pt idx="20">
                  <c:v>41</c:v>
                </c:pt>
                <c:pt idx="21">
                  <c:v>42</c:v>
                </c:pt>
                <c:pt idx="22">
                  <c:v>43</c:v>
                </c:pt>
                <c:pt idx="23">
                  <c:v>44</c:v>
                </c:pt>
                <c:pt idx="24">
                  <c:v>45</c:v>
                </c:pt>
                <c:pt idx="25">
                  <c:v>46</c:v>
                </c:pt>
                <c:pt idx="26">
                  <c:v>47</c:v>
                </c:pt>
                <c:pt idx="27">
                  <c:v>48</c:v>
                </c:pt>
                <c:pt idx="28">
                  <c:v>49</c:v>
                </c:pt>
                <c:pt idx="29">
                  <c:v>50</c:v>
                </c:pt>
                <c:pt idx="30">
                  <c:v>51</c:v>
                </c:pt>
                <c:pt idx="31">
                  <c:v>52</c:v>
                </c:pt>
                <c:pt idx="32">
                  <c:v>53</c:v>
                </c:pt>
                <c:pt idx="33">
                  <c:v>54</c:v>
                </c:pt>
                <c:pt idx="34">
                  <c:v>55</c:v>
                </c:pt>
                <c:pt idx="35">
                  <c:v>56</c:v>
                </c:pt>
                <c:pt idx="36">
                  <c:v>57</c:v>
                </c:pt>
                <c:pt idx="37">
                  <c:v>58</c:v>
                </c:pt>
                <c:pt idx="38">
                  <c:v>59</c:v>
                </c:pt>
                <c:pt idx="39">
                  <c:v>60</c:v>
                </c:pt>
                <c:pt idx="40">
                  <c:v>61</c:v>
                </c:pt>
                <c:pt idx="41">
                  <c:v>62</c:v>
                </c:pt>
                <c:pt idx="42">
                  <c:v>63</c:v>
                </c:pt>
                <c:pt idx="43">
                  <c:v>64</c:v>
                </c:pt>
                <c:pt idx="44">
                  <c:v>65</c:v>
                </c:pt>
                <c:pt idx="45">
                  <c:v>66</c:v>
                </c:pt>
                <c:pt idx="46">
                  <c:v>67</c:v>
                </c:pt>
                <c:pt idx="47">
                  <c:v>68</c:v>
                </c:pt>
                <c:pt idx="48">
                  <c:v>69</c:v>
                </c:pt>
                <c:pt idx="49">
                  <c:v>70</c:v>
                </c:pt>
                <c:pt idx="50">
                  <c:v>71</c:v>
                </c:pt>
                <c:pt idx="51">
                  <c:v>72</c:v>
                </c:pt>
                <c:pt idx="52">
                  <c:v>73</c:v>
                </c:pt>
                <c:pt idx="53">
                  <c:v>74</c:v>
                </c:pt>
                <c:pt idx="54">
                  <c:v>75</c:v>
                </c:pt>
                <c:pt idx="55">
                  <c:v>76</c:v>
                </c:pt>
                <c:pt idx="56">
                  <c:v>77</c:v>
                </c:pt>
                <c:pt idx="57">
                  <c:v>78</c:v>
                </c:pt>
                <c:pt idx="58">
                  <c:v>79</c:v>
                </c:pt>
                <c:pt idx="59">
                  <c:v>80</c:v>
                </c:pt>
                <c:pt idx="60">
                  <c:v>81</c:v>
                </c:pt>
              </c:numCache>
            </c:numRef>
          </c:cat>
          <c:val>
            <c:numRef>
              <c:f>'Scenario - Add Pay'!$O$62:$O$122</c:f>
              <c:numCache>
                <c:formatCode>_("$"* #,##0.00_);_("$"* \(#,##0.00\);_("$"* "-"??_);_(@_)</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extLst>
            <c:ext xmlns:c16="http://schemas.microsoft.com/office/drawing/2014/chart" uri="{C3380CC4-5D6E-409C-BE32-E72D297353CC}">
              <c16:uniqueId val="{00000004-028B-1D4F-8BDE-C62E56A8B843}"/>
            </c:ext>
          </c:extLst>
        </c:ser>
        <c:dLbls>
          <c:showLegendKey val="0"/>
          <c:showVal val="0"/>
          <c:showCatName val="0"/>
          <c:showSerName val="0"/>
          <c:showPercent val="0"/>
          <c:showBubbleSize val="0"/>
        </c:dLbls>
        <c:axId val="244177471"/>
        <c:axId val="90839855"/>
      </c:areaChart>
      <c:lineChart>
        <c:grouping val="standard"/>
        <c:varyColors val="0"/>
        <c:ser>
          <c:idx val="0"/>
          <c:order val="5"/>
          <c:tx>
            <c:strRef>
              <c:f>'Scenario - Add Pay'!$T$60</c:f>
              <c:strCache>
                <c:ptCount val="1"/>
                <c:pt idx="0">
                  <c:v>Expenses</c:v>
                </c:pt>
              </c:strCache>
            </c:strRef>
          </c:tx>
          <c:spPr>
            <a:ln w="28575" cap="rnd">
              <a:solidFill>
                <a:schemeClr val="accent1"/>
              </a:solidFill>
              <a:round/>
            </a:ln>
            <a:effectLst/>
          </c:spPr>
          <c:marker>
            <c:symbol val="none"/>
          </c:marker>
          <c:val>
            <c:numRef>
              <c:f>'Scenario - Add Pay'!$T$62:$T$122</c:f>
              <c:numCache>
                <c:formatCode>_("$"* #,##0.00_);_("$"* \(#,##0.00\);_("$"* "-"??_);_(@_)</c:formatCode>
                <c:ptCount val="61"/>
                <c:pt idx="0">
                  <c:v>60</c:v>
                </c:pt>
                <c:pt idx="1">
                  <c:v>60</c:v>
                </c:pt>
                <c:pt idx="2">
                  <c:v>60</c:v>
                </c:pt>
                <c:pt idx="3">
                  <c:v>60</c:v>
                </c:pt>
                <c:pt idx="4">
                  <c:v>60</c:v>
                </c:pt>
                <c:pt idx="5">
                  <c:v>60</c:v>
                </c:pt>
                <c:pt idx="6">
                  <c:v>60</c:v>
                </c:pt>
                <c:pt idx="7">
                  <c:v>60</c:v>
                </c:pt>
                <c:pt idx="8">
                  <c:v>60</c:v>
                </c:pt>
                <c:pt idx="9">
                  <c:v>60</c:v>
                </c:pt>
                <c:pt idx="10">
                  <c:v>60</c:v>
                </c:pt>
                <c:pt idx="11">
                  <c:v>60</c:v>
                </c:pt>
                <c:pt idx="12">
                  <c:v>60</c:v>
                </c:pt>
                <c:pt idx="13">
                  <c:v>60</c:v>
                </c:pt>
                <c:pt idx="14">
                  <c:v>60</c:v>
                </c:pt>
                <c:pt idx="15">
                  <c:v>60</c:v>
                </c:pt>
                <c:pt idx="16">
                  <c:v>60</c:v>
                </c:pt>
                <c:pt idx="17">
                  <c:v>60</c:v>
                </c:pt>
                <c:pt idx="18">
                  <c:v>60</c:v>
                </c:pt>
                <c:pt idx="19">
                  <c:v>60</c:v>
                </c:pt>
                <c:pt idx="20">
                  <c:v>60</c:v>
                </c:pt>
                <c:pt idx="21">
                  <c:v>60</c:v>
                </c:pt>
                <c:pt idx="22">
                  <c:v>60</c:v>
                </c:pt>
                <c:pt idx="23">
                  <c:v>60</c:v>
                </c:pt>
                <c:pt idx="24">
                  <c:v>60</c:v>
                </c:pt>
                <c:pt idx="25">
                  <c:v>60</c:v>
                </c:pt>
                <c:pt idx="26">
                  <c:v>60</c:v>
                </c:pt>
                <c:pt idx="27">
                  <c:v>60</c:v>
                </c:pt>
                <c:pt idx="28">
                  <c:v>60</c:v>
                </c:pt>
                <c:pt idx="29">
                  <c:v>60</c:v>
                </c:pt>
                <c:pt idx="30">
                  <c:v>60</c:v>
                </c:pt>
                <c:pt idx="31">
                  <c:v>60</c:v>
                </c:pt>
                <c:pt idx="32">
                  <c:v>60</c:v>
                </c:pt>
                <c:pt idx="33">
                  <c:v>60</c:v>
                </c:pt>
                <c:pt idx="34">
                  <c:v>60</c:v>
                </c:pt>
                <c:pt idx="35">
                  <c:v>60</c:v>
                </c:pt>
                <c:pt idx="36">
                  <c:v>60</c:v>
                </c:pt>
                <c:pt idx="37">
                  <c:v>60</c:v>
                </c:pt>
                <c:pt idx="38">
                  <c:v>60</c:v>
                </c:pt>
                <c:pt idx="39">
                  <c:v>60</c:v>
                </c:pt>
                <c:pt idx="40">
                  <c:v>60</c:v>
                </c:pt>
                <c:pt idx="41">
                  <c:v>60</c:v>
                </c:pt>
                <c:pt idx="42">
                  <c:v>60</c:v>
                </c:pt>
                <c:pt idx="43">
                  <c:v>60</c:v>
                </c:pt>
                <c:pt idx="44">
                  <c:v>60</c:v>
                </c:pt>
                <c:pt idx="45">
                  <c:v>60</c:v>
                </c:pt>
                <c:pt idx="46">
                  <c:v>60</c:v>
                </c:pt>
                <c:pt idx="47">
                  <c:v>60</c:v>
                </c:pt>
                <c:pt idx="48">
                  <c:v>60</c:v>
                </c:pt>
                <c:pt idx="49">
                  <c:v>60</c:v>
                </c:pt>
                <c:pt idx="50">
                  <c:v>60</c:v>
                </c:pt>
                <c:pt idx="51">
                  <c:v>60</c:v>
                </c:pt>
                <c:pt idx="52">
                  <c:v>60</c:v>
                </c:pt>
                <c:pt idx="53">
                  <c:v>60</c:v>
                </c:pt>
                <c:pt idx="54">
                  <c:v>60</c:v>
                </c:pt>
                <c:pt idx="55">
                  <c:v>60</c:v>
                </c:pt>
                <c:pt idx="56">
                  <c:v>60</c:v>
                </c:pt>
                <c:pt idx="57">
                  <c:v>60</c:v>
                </c:pt>
                <c:pt idx="58">
                  <c:v>60</c:v>
                </c:pt>
                <c:pt idx="59">
                  <c:v>60</c:v>
                </c:pt>
                <c:pt idx="60">
                  <c:v>60</c:v>
                </c:pt>
              </c:numCache>
            </c:numRef>
          </c:val>
          <c:smooth val="0"/>
          <c:extLst>
            <c:ext xmlns:c16="http://schemas.microsoft.com/office/drawing/2014/chart" uri="{C3380CC4-5D6E-409C-BE32-E72D297353CC}">
              <c16:uniqueId val="{00000005-028B-1D4F-8BDE-C62E56A8B843}"/>
            </c:ext>
          </c:extLst>
        </c:ser>
        <c:ser>
          <c:idx val="7"/>
          <c:order val="6"/>
          <c:tx>
            <c:strRef>
              <c:f>'Scenario - Add Pay'!$U$60</c:f>
              <c:strCache>
                <c:ptCount val="1"/>
                <c:pt idx="0">
                  <c:v>Net After Tax, Transfer and Expenses</c:v>
                </c:pt>
              </c:strCache>
            </c:strRef>
          </c:tx>
          <c:spPr>
            <a:ln w="28575" cap="rnd">
              <a:solidFill>
                <a:schemeClr val="accent2">
                  <a:lumMod val="60000"/>
                </a:schemeClr>
              </a:solidFill>
              <a:round/>
            </a:ln>
            <a:effectLst/>
          </c:spPr>
          <c:marker>
            <c:symbol val="none"/>
          </c:marker>
          <c:val>
            <c:numRef>
              <c:f>'Scenario - Add Pay'!$U$62:$U$122</c:f>
              <c:numCache>
                <c:formatCode>"$"#,##0.00_);[Red]\("$"#,##0.00\)</c:formatCode>
                <c:ptCount val="61"/>
                <c:pt idx="0">
                  <c:v>916.97445192307669</c:v>
                </c:pt>
                <c:pt idx="1">
                  <c:v>920.30445192307684</c:v>
                </c:pt>
                <c:pt idx="2">
                  <c:v>923.63445192307677</c:v>
                </c:pt>
                <c:pt idx="3">
                  <c:v>926.96445192307692</c:v>
                </c:pt>
                <c:pt idx="4">
                  <c:v>930.29445192307696</c:v>
                </c:pt>
                <c:pt idx="5">
                  <c:v>933.62445192307678</c:v>
                </c:pt>
                <c:pt idx="6">
                  <c:v>936.95445192307682</c:v>
                </c:pt>
                <c:pt idx="7">
                  <c:v>940.28445192307686</c:v>
                </c:pt>
                <c:pt idx="8">
                  <c:v>943.6144519230769</c:v>
                </c:pt>
                <c:pt idx="9">
                  <c:v>946.94445192307694</c:v>
                </c:pt>
                <c:pt idx="10">
                  <c:v>950.27445192307675</c:v>
                </c:pt>
                <c:pt idx="11">
                  <c:v>953.60445192307679</c:v>
                </c:pt>
                <c:pt idx="12">
                  <c:v>956.93445192307684</c:v>
                </c:pt>
                <c:pt idx="13">
                  <c:v>960.26445192307688</c:v>
                </c:pt>
                <c:pt idx="14">
                  <c:v>963.59445192307692</c:v>
                </c:pt>
                <c:pt idx="15">
                  <c:v>966.92445192307673</c:v>
                </c:pt>
                <c:pt idx="16">
                  <c:v>970.25445192307689</c:v>
                </c:pt>
                <c:pt idx="17">
                  <c:v>973.58445192307681</c:v>
                </c:pt>
                <c:pt idx="18">
                  <c:v>976.91445192307697</c:v>
                </c:pt>
                <c:pt idx="19">
                  <c:v>980.24445192307689</c:v>
                </c:pt>
                <c:pt idx="20">
                  <c:v>983.57445192307682</c:v>
                </c:pt>
                <c:pt idx="21">
                  <c:v>986.90445192307675</c:v>
                </c:pt>
                <c:pt idx="22">
                  <c:v>990.2344519230769</c:v>
                </c:pt>
                <c:pt idx="23">
                  <c:v>993.49281730769235</c:v>
                </c:pt>
                <c:pt idx="24">
                  <c:v>996.0728173076925</c:v>
                </c:pt>
                <c:pt idx="25">
                  <c:v>998.65281730769243</c:v>
                </c:pt>
                <c:pt idx="26">
                  <c:v>1001.2328173076924</c:v>
                </c:pt>
                <c:pt idx="27">
                  <c:v>1077.2126030219779</c:v>
                </c:pt>
                <c:pt idx="28">
                  <c:v>1080.812603021978</c:v>
                </c:pt>
                <c:pt idx="29">
                  <c:v>1084.4126030219779</c:v>
                </c:pt>
                <c:pt idx="30">
                  <c:v>1088.0126030219781</c:v>
                </c:pt>
                <c:pt idx="31">
                  <c:v>1091.612603021978</c:v>
                </c:pt>
                <c:pt idx="32">
                  <c:v>1095.2126030219779</c:v>
                </c:pt>
                <c:pt idx="33">
                  <c:v>1098.812603021978</c:v>
                </c:pt>
                <c:pt idx="34">
                  <c:v>1102.4126030219779</c:v>
                </c:pt>
                <c:pt idx="35">
                  <c:v>1106.0126030219781</c:v>
                </c:pt>
                <c:pt idx="36">
                  <c:v>1109.612603021978</c:v>
                </c:pt>
                <c:pt idx="37">
                  <c:v>1113.2126030219779</c:v>
                </c:pt>
                <c:pt idx="38">
                  <c:v>1116.812603021978</c:v>
                </c:pt>
                <c:pt idx="39">
                  <c:v>1120.4126030219779</c:v>
                </c:pt>
                <c:pt idx="40">
                  <c:v>1124.0126030219778</c:v>
                </c:pt>
                <c:pt idx="41">
                  <c:v>1127.612603021978</c:v>
                </c:pt>
                <c:pt idx="42">
                  <c:v>1131.2126030219779</c:v>
                </c:pt>
                <c:pt idx="43">
                  <c:v>1134.8126030219778</c:v>
                </c:pt>
                <c:pt idx="44">
                  <c:v>1138.4126030219782</c:v>
                </c:pt>
                <c:pt idx="45">
                  <c:v>1142.0126030219781</c:v>
                </c:pt>
                <c:pt idx="46">
                  <c:v>1145.612603021978</c:v>
                </c:pt>
                <c:pt idx="47">
                  <c:v>1136.1049107142858</c:v>
                </c:pt>
                <c:pt idx="48">
                  <c:v>1139.1049107142856</c:v>
                </c:pt>
                <c:pt idx="49">
                  <c:v>1142.1049107142858</c:v>
                </c:pt>
                <c:pt idx="50">
                  <c:v>1145.1049107142858</c:v>
                </c:pt>
                <c:pt idx="51">
                  <c:v>1148.1049107142858</c:v>
                </c:pt>
                <c:pt idx="52">
                  <c:v>1151.45</c:v>
                </c:pt>
                <c:pt idx="53">
                  <c:v>1159.4499999999998</c:v>
                </c:pt>
                <c:pt idx="54">
                  <c:v>1167.45</c:v>
                </c:pt>
                <c:pt idx="55">
                  <c:v>1175.45</c:v>
                </c:pt>
                <c:pt idx="56">
                  <c:v>1183.45</c:v>
                </c:pt>
                <c:pt idx="57">
                  <c:v>1191.45</c:v>
                </c:pt>
                <c:pt idx="58">
                  <c:v>1199.4499999999998</c:v>
                </c:pt>
                <c:pt idx="59">
                  <c:v>1207.45</c:v>
                </c:pt>
                <c:pt idx="60">
                  <c:v>1215.45</c:v>
                </c:pt>
              </c:numCache>
            </c:numRef>
          </c:val>
          <c:smooth val="0"/>
          <c:extLst>
            <c:ext xmlns:c16="http://schemas.microsoft.com/office/drawing/2014/chart" uri="{C3380CC4-5D6E-409C-BE32-E72D297353CC}">
              <c16:uniqueId val="{00000006-028B-1D4F-8BDE-C62E56A8B843}"/>
            </c:ext>
          </c:extLst>
        </c:ser>
        <c:dLbls>
          <c:showLegendKey val="0"/>
          <c:showVal val="0"/>
          <c:showCatName val="0"/>
          <c:showSerName val="0"/>
          <c:showPercent val="0"/>
          <c:showBubbleSize val="0"/>
        </c:dLbls>
        <c:marker val="1"/>
        <c:smooth val="0"/>
        <c:axId val="244177471"/>
        <c:axId val="90839855"/>
      </c:lineChart>
      <c:catAx>
        <c:axId val="244177471"/>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GB" sz="1400"/>
                  <a:t>Hourly pay rate</a:t>
                </a:r>
              </a:p>
            </c:rich>
          </c:tx>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0839855"/>
        <c:crosses val="autoZero"/>
        <c:auto val="1"/>
        <c:lblAlgn val="ctr"/>
        <c:lblOffset val="100"/>
        <c:tickLblSkip val="2"/>
        <c:noMultiLvlLbl val="0"/>
      </c:catAx>
      <c:valAx>
        <c:axId val="9083985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GB" sz="1400"/>
                  <a:t>Weekly After Tax Income</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24417747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8</xdr:col>
      <xdr:colOff>749300</xdr:colOff>
      <xdr:row>13</xdr:row>
      <xdr:rowOff>38100</xdr:rowOff>
    </xdr:from>
    <xdr:to>
      <xdr:col>18</xdr:col>
      <xdr:colOff>571500</xdr:colOff>
      <xdr:row>52</xdr:row>
      <xdr:rowOff>0</xdr:rowOff>
    </xdr:to>
    <xdr:graphicFrame macro="">
      <xdr:nvGraphicFramePr>
        <xdr:cNvPr id="2" name="Chart 1">
          <a:extLst>
            <a:ext uri="{FF2B5EF4-FFF2-40B4-BE49-F238E27FC236}">
              <a16:creationId xmlns:a16="http://schemas.microsoft.com/office/drawing/2014/main" id="{E654B01E-8E1E-8A32-DDF6-111F7D76823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8</xdr:col>
      <xdr:colOff>730849</xdr:colOff>
      <xdr:row>15</xdr:row>
      <xdr:rowOff>95850</xdr:rowOff>
    </xdr:from>
    <xdr:to>
      <xdr:col>18</xdr:col>
      <xdr:colOff>551132</xdr:colOff>
      <xdr:row>51</xdr:row>
      <xdr:rowOff>1</xdr:rowOff>
    </xdr:to>
    <xdr:graphicFrame macro="">
      <xdr:nvGraphicFramePr>
        <xdr:cNvPr id="2" name="Chart 1">
          <a:extLst>
            <a:ext uri="{FF2B5EF4-FFF2-40B4-BE49-F238E27FC236}">
              <a16:creationId xmlns:a16="http://schemas.microsoft.com/office/drawing/2014/main" id="{E8454A57-3AF5-1849-A0AF-B83ADC0BC9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hyperlink" Target="https://www.legislation.govt.nz/act/public/2018/0032/latest/DLM6784877.html" TargetMode="External"/><Relationship Id="rId2" Type="http://schemas.openxmlformats.org/officeDocument/2006/relationships/hyperlink" Target="https://www.workandincome.govt.nz/about-work-and-income/news/2021/income-abatement-changes.html" TargetMode="External"/><Relationship Id="rId1" Type="http://schemas.openxmlformats.org/officeDocument/2006/relationships/hyperlink" Target="https://www.workandincome.govt.nz/products/benefit-rates/benefit-rates-april-2022.html" TargetMode="External"/><Relationship Id="rId5" Type="http://schemas.openxmlformats.org/officeDocument/2006/relationships/hyperlink" Target="https://www.daisies.co.nz/fees" TargetMode="External"/><Relationship Id="rId4" Type="http://schemas.openxmlformats.org/officeDocument/2006/relationships/hyperlink" Target="https://www.ird.govt.nz/income-tax/income-tax-for-individuals/tax-codes-and-tax-rates-for-individuals/tax-rates-for-individuals"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B4F35-46B0-044F-A9E1-6665E326F1A5}">
  <dimension ref="A1:B37"/>
  <sheetViews>
    <sheetView topLeftCell="A10" zoomScale="101" workbookViewId="0">
      <selection activeCell="B38" sqref="B38"/>
    </sheetView>
  </sheetViews>
  <sheetFormatPr baseColWidth="10" defaultRowHeight="16" x14ac:dyDescent="0.2"/>
  <cols>
    <col min="1" max="1" width="6" customWidth="1"/>
    <col min="2" max="2" width="214.33203125" style="1" customWidth="1"/>
  </cols>
  <sheetData>
    <row r="1" spans="1:2" ht="17" x14ac:dyDescent="0.2">
      <c r="B1" s="1" t="s">
        <v>208</v>
      </c>
    </row>
    <row r="2" spans="1:2" ht="17" x14ac:dyDescent="0.2">
      <c r="B2" s="1" t="s">
        <v>209</v>
      </c>
    </row>
    <row r="3" spans="1:2" ht="17" x14ac:dyDescent="0.2">
      <c r="B3" s="1" t="s">
        <v>210</v>
      </c>
    </row>
    <row r="4" spans="1:2" ht="17" x14ac:dyDescent="0.2">
      <c r="B4" s="1" t="s">
        <v>211</v>
      </c>
    </row>
    <row r="5" spans="1:2" ht="17" x14ac:dyDescent="0.2">
      <c r="B5" s="1" t="s">
        <v>212</v>
      </c>
    </row>
    <row r="8" spans="1:2" x14ac:dyDescent="0.2">
      <c r="A8" s="18" t="s">
        <v>249</v>
      </c>
    </row>
    <row r="9" spans="1:2" ht="34" x14ac:dyDescent="0.2">
      <c r="B9" s="1" t="s">
        <v>266</v>
      </c>
    </row>
    <row r="10" spans="1:2" ht="34" x14ac:dyDescent="0.2">
      <c r="B10" s="1" t="s">
        <v>258</v>
      </c>
    </row>
    <row r="11" spans="1:2" ht="34" x14ac:dyDescent="0.2">
      <c r="B11" s="1" t="s">
        <v>259</v>
      </c>
    </row>
    <row r="12" spans="1:2" ht="34" x14ac:dyDescent="0.2">
      <c r="B12" s="1" t="s">
        <v>260</v>
      </c>
    </row>
    <row r="13" spans="1:2" ht="17" x14ac:dyDescent="0.2">
      <c r="B13" s="1" t="s">
        <v>261</v>
      </c>
    </row>
    <row r="14" spans="1:2" ht="17" x14ac:dyDescent="0.2">
      <c r="B14" s="1" t="s">
        <v>267</v>
      </c>
    </row>
    <row r="15" spans="1:2" ht="34" x14ac:dyDescent="0.2">
      <c r="B15" s="1" t="s">
        <v>262</v>
      </c>
    </row>
    <row r="16" spans="1:2" ht="51" x14ac:dyDescent="0.2">
      <c r="B16" s="1" t="s">
        <v>263</v>
      </c>
    </row>
    <row r="17" spans="1:2" ht="34" x14ac:dyDescent="0.2">
      <c r="B17" s="1" t="s">
        <v>264</v>
      </c>
    </row>
    <row r="18" spans="1:2" ht="17" x14ac:dyDescent="0.2">
      <c r="B18" s="1" t="s">
        <v>265</v>
      </c>
    </row>
    <row r="19" spans="1:2" ht="34" x14ac:dyDescent="0.2">
      <c r="B19" s="1" t="s">
        <v>278</v>
      </c>
    </row>
    <row r="20" spans="1:2" ht="34" x14ac:dyDescent="0.2">
      <c r="B20" s="1" t="s">
        <v>296</v>
      </c>
    </row>
    <row r="21" spans="1:2" ht="17" x14ac:dyDescent="0.2">
      <c r="B21" s="1" t="s">
        <v>299</v>
      </c>
    </row>
    <row r="22" spans="1:2" ht="17" x14ac:dyDescent="0.2">
      <c r="B22" s="1" t="s">
        <v>300</v>
      </c>
    </row>
    <row r="24" spans="1:2" x14ac:dyDescent="0.2">
      <c r="A24" s="18" t="s">
        <v>250</v>
      </c>
    </row>
    <row r="25" spans="1:2" ht="17" x14ac:dyDescent="0.2">
      <c r="A25" t="s">
        <v>251</v>
      </c>
      <c r="B25" s="1" t="s">
        <v>252</v>
      </c>
    </row>
    <row r="26" spans="1:2" ht="17" x14ac:dyDescent="0.2">
      <c r="A26" t="s">
        <v>253</v>
      </c>
      <c r="B26" s="1" t="s">
        <v>254</v>
      </c>
    </row>
    <row r="27" spans="1:2" ht="17" x14ac:dyDescent="0.2">
      <c r="B27" s="1" t="s">
        <v>255</v>
      </c>
    </row>
    <row r="28" spans="1:2" ht="17" x14ac:dyDescent="0.2">
      <c r="B28" s="1" t="s">
        <v>256</v>
      </c>
    </row>
    <row r="29" spans="1:2" ht="17" x14ac:dyDescent="0.2">
      <c r="B29" s="1" t="s">
        <v>257</v>
      </c>
    </row>
    <row r="30" spans="1:2" ht="17" x14ac:dyDescent="0.2">
      <c r="A30" t="s">
        <v>304</v>
      </c>
      <c r="B30" s="1" t="s">
        <v>305</v>
      </c>
    </row>
    <row r="31" spans="1:2" ht="17" x14ac:dyDescent="0.2">
      <c r="B31" s="1" t="s">
        <v>308</v>
      </c>
    </row>
    <row r="32" spans="1:2" x14ac:dyDescent="0.2">
      <c r="B32" t="s">
        <v>306</v>
      </c>
    </row>
    <row r="33" spans="1:2" ht="17" x14ac:dyDescent="0.2">
      <c r="B33" s="1" t="s">
        <v>307</v>
      </c>
    </row>
    <row r="34" spans="1:2" ht="17" x14ac:dyDescent="0.2">
      <c r="B34" s="1" t="s">
        <v>309</v>
      </c>
    </row>
    <row r="35" spans="1:2" ht="17" x14ac:dyDescent="0.2">
      <c r="B35" s="1" t="s">
        <v>310</v>
      </c>
    </row>
    <row r="36" spans="1:2" ht="17" x14ac:dyDescent="0.2">
      <c r="A36" t="s">
        <v>317</v>
      </c>
      <c r="B36" s="1" t="s">
        <v>318</v>
      </c>
    </row>
    <row r="37" spans="1:2" ht="17" x14ac:dyDescent="0.2">
      <c r="B37" s="1" t="s">
        <v>345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22DC9-8B58-A048-AE5B-BF0722B7D1FA}">
  <dimension ref="A2:E21"/>
  <sheetViews>
    <sheetView workbookViewId="0">
      <selection activeCell="E7" sqref="E7"/>
    </sheetView>
  </sheetViews>
  <sheetFormatPr baseColWidth="10" defaultRowHeight="16" x14ac:dyDescent="0.2"/>
  <cols>
    <col min="1" max="1" width="21.5" style="2" customWidth="1"/>
    <col min="2" max="3" width="37.5" style="2" customWidth="1"/>
    <col min="4" max="4" width="29.83203125" style="2" bestFit="1" customWidth="1"/>
    <col min="5" max="16384" width="10.83203125" style="2"/>
  </cols>
  <sheetData>
    <row r="2" spans="1:5" ht="68" x14ac:dyDescent="0.2">
      <c r="A2" s="2" t="s">
        <v>0</v>
      </c>
      <c r="B2" s="3" t="s">
        <v>12</v>
      </c>
      <c r="C2" s="3"/>
      <c r="D2" s="3" t="s">
        <v>196</v>
      </c>
      <c r="E2" s="30" t="s">
        <v>194</v>
      </c>
    </row>
    <row r="3" spans="1:5" ht="102" x14ac:dyDescent="0.2">
      <c r="A3" s="2" t="s">
        <v>1</v>
      </c>
      <c r="B3" s="3" t="s">
        <v>15</v>
      </c>
      <c r="C3" s="3"/>
      <c r="D3" s="3" t="s">
        <v>197</v>
      </c>
      <c r="E3" s="30" t="s">
        <v>195</v>
      </c>
    </row>
    <row r="4" spans="1:5" x14ac:dyDescent="0.2">
      <c r="A4" s="2" t="s">
        <v>2</v>
      </c>
      <c r="B4" s="2" t="s">
        <v>13</v>
      </c>
      <c r="D4" s="2" t="s">
        <v>198</v>
      </c>
      <c r="E4" s="30" t="s">
        <v>199</v>
      </c>
    </row>
    <row r="5" spans="1:5" ht="51" x14ac:dyDescent="0.2">
      <c r="A5" s="2" t="s">
        <v>3</v>
      </c>
      <c r="B5" s="3" t="s">
        <v>14</v>
      </c>
      <c r="C5" s="3"/>
      <c r="D5" s="3" t="s">
        <v>200</v>
      </c>
      <c r="E5" s="30" t="s">
        <v>201</v>
      </c>
    </row>
    <row r="6" spans="1:5" ht="34" x14ac:dyDescent="0.2">
      <c r="A6" s="2" t="s">
        <v>4</v>
      </c>
      <c r="B6" s="3" t="s">
        <v>16</v>
      </c>
      <c r="C6" s="3"/>
      <c r="D6" s="3" t="s">
        <v>202</v>
      </c>
      <c r="E6" s="30" t="s">
        <v>203</v>
      </c>
    </row>
    <row r="7" spans="1:5" ht="34" x14ac:dyDescent="0.2">
      <c r="A7" s="2" t="s">
        <v>5</v>
      </c>
      <c r="B7" s="3" t="s">
        <v>17</v>
      </c>
      <c r="C7" s="3"/>
      <c r="D7" s="3"/>
    </row>
    <row r="8" spans="1:5" x14ac:dyDescent="0.2">
      <c r="A8" s="2" t="s">
        <v>6</v>
      </c>
      <c r="B8" s="2" t="s">
        <v>18</v>
      </c>
    </row>
    <row r="9" spans="1:5" ht="51" x14ac:dyDescent="0.2">
      <c r="A9" s="2" t="s">
        <v>7</v>
      </c>
      <c r="B9" s="3" t="s">
        <v>19</v>
      </c>
      <c r="C9" s="3"/>
      <c r="D9" s="3"/>
    </row>
    <row r="10" spans="1:5" x14ac:dyDescent="0.2">
      <c r="A10" s="2" t="s">
        <v>8</v>
      </c>
    </row>
    <row r="11" spans="1:5" x14ac:dyDescent="0.2">
      <c r="A11" s="2" t="s">
        <v>9</v>
      </c>
    </row>
    <row r="12" spans="1:5" x14ac:dyDescent="0.2">
      <c r="A12" s="2" t="s">
        <v>10</v>
      </c>
    </row>
    <row r="13" spans="1:5" x14ac:dyDescent="0.2">
      <c r="A13" s="2" t="s">
        <v>11</v>
      </c>
      <c r="B13" s="2" t="s">
        <v>20</v>
      </c>
    </row>
    <row r="14" spans="1:5" x14ac:dyDescent="0.2">
      <c r="A14" s="2" t="s">
        <v>21</v>
      </c>
      <c r="B14" s="2" t="s">
        <v>22</v>
      </c>
    </row>
    <row r="15" spans="1:5" ht="34" x14ac:dyDescent="0.2">
      <c r="A15" s="2" t="s">
        <v>23</v>
      </c>
      <c r="B15" s="3" t="s">
        <v>24</v>
      </c>
      <c r="C15" s="3"/>
      <c r="D15" s="3"/>
    </row>
    <row r="16" spans="1:5" ht="34" x14ac:dyDescent="0.2">
      <c r="A16" s="2" t="s">
        <v>25</v>
      </c>
      <c r="B16" s="3" t="s">
        <v>26</v>
      </c>
      <c r="C16" s="3"/>
      <c r="D16" s="3"/>
    </row>
    <row r="17" spans="1:2" x14ac:dyDescent="0.2">
      <c r="A17" s="2" t="s">
        <v>27</v>
      </c>
      <c r="B17" s="2" t="s">
        <v>28</v>
      </c>
    </row>
    <row r="18" spans="1:2" x14ac:dyDescent="0.2">
      <c r="A18" s="2" t="s">
        <v>29</v>
      </c>
      <c r="B18" s="2" t="s">
        <v>30</v>
      </c>
    </row>
    <row r="19" spans="1:2" x14ac:dyDescent="0.2">
      <c r="A19" s="2" t="s">
        <v>31</v>
      </c>
      <c r="B19" s="2" t="s">
        <v>32</v>
      </c>
    </row>
    <row r="20" spans="1:2" x14ac:dyDescent="0.2">
      <c r="A20" s="2" t="s">
        <v>33</v>
      </c>
      <c r="B20" s="2" t="s">
        <v>34</v>
      </c>
    </row>
    <row r="21" spans="1:2" x14ac:dyDescent="0.2">
      <c r="A21" s="2" t="s">
        <v>64</v>
      </c>
    </row>
  </sheetData>
  <hyperlinks>
    <hyperlink ref="E2" r:id="rId1" xr:uid="{5BF8F536-EF74-0D40-80AD-D4F2C4689704}"/>
    <hyperlink ref="E3" r:id="rId2" xr:uid="{D02F0BCF-93ED-4842-A40F-8B3FEFCA4A7D}"/>
    <hyperlink ref="E4" r:id="rId3" xr:uid="{BD782342-96E6-1140-8614-D5BF42FFB073}"/>
    <hyperlink ref="E5" r:id="rId4" xr:uid="{FD11E0C6-3263-E54A-A31B-348EC5B59B37}"/>
    <hyperlink ref="E6" r:id="rId5" xr:uid="{D268F003-CA1E-5A42-A40E-2B3BC09687A9}"/>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9EEA5-C0FC-CB4D-8C62-D2637642E4AD}">
  <dimension ref="A1:T39"/>
  <sheetViews>
    <sheetView topLeftCell="A6" workbookViewId="0">
      <selection activeCell="F6" sqref="F6"/>
    </sheetView>
  </sheetViews>
  <sheetFormatPr baseColWidth="10" defaultRowHeight="16" x14ac:dyDescent="0.2"/>
  <cols>
    <col min="1" max="1" width="21.1640625" customWidth="1"/>
    <col min="2" max="2" width="14.33203125" customWidth="1"/>
    <col min="3" max="3" width="13" customWidth="1"/>
    <col min="4" max="4" width="9.83203125" customWidth="1"/>
    <col min="5" max="6" width="10.83203125" customWidth="1"/>
    <col min="7" max="7" width="21.83203125" customWidth="1"/>
    <col min="9" max="9" width="11.5" bestFit="1" customWidth="1"/>
    <col min="10" max="10" width="13.83203125" customWidth="1"/>
    <col min="17" max="17" width="14" customWidth="1"/>
    <col min="18" max="18" width="17.33203125" customWidth="1"/>
    <col min="19" max="19" width="14.33203125" customWidth="1"/>
    <col min="20" max="20" width="16.5" customWidth="1"/>
  </cols>
  <sheetData>
    <row r="1" spans="1:20" x14ac:dyDescent="0.2">
      <c r="A1" s="10" t="s">
        <v>117</v>
      </c>
      <c r="B1" s="10" t="s">
        <v>118</v>
      </c>
    </row>
    <row r="2" spans="1:20" x14ac:dyDescent="0.2">
      <c r="A2" s="9" t="s">
        <v>36</v>
      </c>
      <c r="B2" s="9" t="s">
        <v>36</v>
      </c>
    </row>
    <row r="3" spans="1:20" x14ac:dyDescent="0.2">
      <c r="A3" s="9" t="s">
        <v>103</v>
      </c>
      <c r="B3" s="9" t="s">
        <v>37</v>
      </c>
    </row>
    <row r="4" spans="1:20" x14ac:dyDescent="0.2">
      <c r="A4" s="9" t="s">
        <v>289</v>
      </c>
      <c r="B4" s="9" t="s">
        <v>85</v>
      </c>
    </row>
    <row r="6" spans="1:20" x14ac:dyDescent="0.2">
      <c r="A6" s="10" t="s">
        <v>115</v>
      </c>
      <c r="B6" s="10" t="s">
        <v>116</v>
      </c>
    </row>
    <row r="7" spans="1:20" x14ac:dyDescent="0.2">
      <c r="A7" s="9" t="s">
        <v>111</v>
      </c>
      <c r="B7" s="9" t="s">
        <v>112</v>
      </c>
    </row>
    <row r="8" spans="1:20" x14ac:dyDescent="0.2">
      <c r="A8" s="9" t="s">
        <v>113</v>
      </c>
      <c r="B8" s="9" t="s">
        <v>114</v>
      </c>
    </row>
    <row r="10" spans="1:20" x14ac:dyDescent="0.2">
      <c r="M10" s="51" t="s">
        <v>50</v>
      </c>
      <c r="N10" s="51"/>
      <c r="O10" s="51"/>
      <c r="P10" s="51"/>
      <c r="Q10" s="51" t="s">
        <v>65</v>
      </c>
      <c r="R10" s="51"/>
      <c r="S10" s="51"/>
      <c r="T10" s="51"/>
    </row>
    <row r="11" spans="1:20" ht="68" x14ac:dyDescent="0.2">
      <c r="A11" s="15" t="s">
        <v>35</v>
      </c>
      <c r="B11" s="15" t="s">
        <v>41</v>
      </c>
      <c r="C11" s="15" t="s">
        <v>42</v>
      </c>
      <c r="D11" s="15" t="s">
        <v>39</v>
      </c>
      <c r="E11" s="12" t="s">
        <v>71</v>
      </c>
      <c r="F11" s="12" t="s">
        <v>72</v>
      </c>
      <c r="G11" s="12" t="s">
        <v>84</v>
      </c>
      <c r="H11" s="15" t="s">
        <v>44</v>
      </c>
      <c r="I11" s="15" t="s">
        <v>45</v>
      </c>
      <c r="J11" s="12" t="s">
        <v>51</v>
      </c>
      <c r="K11" s="12" t="s">
        <v>48</v>
      </c>
      <c r="L11" s="15" t="s">
        <v>49</v>
      </c>
      <c r="M11" s="12">
        <v>1</v>
      </c>
      <c r="N11" s="12">
        <v>2</v>
      </c>
      <c r="O11" s="12">
        <v>3</v>
      </c>
      <c r="P11" s="12">
        <v>4</v>
      </c>
      <c r="Q11" s="12" t="s">
        <v>66</v>
      </c>
      <c r="R11" s="12" t="s">
        <v>68</v>
      </c>
      <c r="S11" s="12" t="s">
        <v>67</v>
      </c>
      <c r="T11" s="12" t="s">
        <v>69</v>
      </c>
    </row>
    <row r="12" spans="1:20" x14ac:dyDescent="0.2">
      <c r="A12" s="9" t="s">
        <v>36</v>
      </c>
      <c r="B12" s="9">
        <v>18</v>
      </c>
      <c r="C12" s="9">
        <v>19</v>
      </c>
      <c r="D12" s="9" t="s">
        <v>40</v>
      </c>
      <c r="E12" s="8">
        <v>0</v>
      </c>
      <c r="F12" s="8">
        <v>0</v>
      </c>
      <c r="G12" s="8" t="s">
        <v>91</v>
      </c>
      <c r="H12" s="13">
        <v>233.75</v>
      </c>
      <c r="I12" s="13">
        <v>261.17</v>
      </c>
      <c r="J12" s="13"/>
      <c r="K12" s="13">
        <v>79</v>
      </c>
      <c r="L12" s="9"/>
      <c r="M12" s="13">
        <v>165</v>
      </c>
      <c r="N12" s="13">
        <v>105</v>
      </c>
      <c r="O12" s="13">
        <v>80</v>
      </c>
      <c r="P12" s="13">
        <v>70</v>
      </c>
      <c r="Q12" s="13">
        <v>160</v>
      </c>
      <c r="R12" s="16">
        <v>0.7</v>
      </c>
      <c r="S12" s="9"/>
      <c r="T12" s="8"/>
    </row>
    <row r="13" spans="1:20" x14ac:dyDescent="0.2">
      <c r="A13" s="9" t="s">
        <v>36</v>
      </c>
      <c r="B13" s="9">
        <v>18</v>
      </c>
      <c r="C13" s="9">
        <v>19</v>
      </c>
      <c r="D13" s="9" t="s">
        <v>43</v>
      </c>
      <c r="E13" s="8">
        <v>0</v>
      </c>
      <c r="F13" s="8">
        <v>0</v>
      </c>
      <c r="G13" s="8" t="s">
        <v>92</v>
      </c>
      <c r="H13" s="13">
        <v>274.37</v>
      </c>
      <c r="I13" s="13">
        <v>309.73</v>
      </c>
      <c r="J13" s="13"/>
      <c r="K13" s="13">
        <v>79</v>
      </c>
      <c r="L13" s="13">
        <v>78</v>
      </c>
      <c r="M13" s="13">
        <v>165</v>
      </c>
      <c r="N13" s="13">
        <v>105</v>
      </c>
      <c r="O13" s="13">
        <v>80</v>
      </c>
      <c r="P13" s="13">
        <v>70</v>
      </c>
      <c r="Q13" s="13">
        <v>160</v>
      </c>
      <c r="R13" s="16">
        <v>0.7</v>
      </c>
      <c r="S13" s="9"/>
      <c r="T13" s="8"/>
    </row>
    <row r="14" spans="1:20" x14ac:dyDescent="0.2">
      <c r="A14" s="9" t="s">
        <v>36</v>
      </c>
      <c r="B14" s="9">
        <v>20</v>
      </c>
      <c r="C14" s="9">
        <v>24</v>
      </c>
      <c r="D14" s="9"/>
      <c r="E14" s="8">
        <v>0</v>
      </c>
      <c r="F14" s="8">
        <v>0</v>
      </c>
      <c r="G14" s="8" t="s">
        <v>93</v>
      </c>
      <c r="H14" s="13">
        <v>274.37</v>
      </c>
      <c r="I14" s="13">
        <v>309.73</v>
      </c>
      <c r="J14" s="13"/>
      <c r="K14" s="13">
        <v>79</v>
      </c>
      <c r="L14" s="13">
        <v>78</v>
      </c>
      <c r="M14" s="13">
        <v>165</v>
      </c>
      <c r="N14" s="13">
        <v>105</v>
      </c>
      <c r="O14" s="13">
        <v>80</v>
      </c>
      <c r="P14" s="13">
        <v>70</v>
      </c>
      <c r="Q14" s="13">
        <v>160</v>
      </c>
      <c r="R14" s="16">
        <v>0.7</v>
      </c>
      <c r="S14" s="9"/>
      <c r="T14" s="8"/>
    </row>
    <row r="15" spans="1:20" x14ac:dyDescent="0.2">
      <c r="A15" s="9" t="s">
        <v>36</v>
      </c>
      <c r="B15" s="9">
        <v>25</v>
      </c>
      <c r="C15" s="9">
        <v>100</v>
      </c>
      <c r="D15" s="9"/>
      <c r="E15" s="8">
        <v>0</v>
      </c>
      <c r="F15" s="8">
        <v>0</v>
      </c>
      <c r="G15" s="8" t="s">
        <v>94</v>
      </c>
      <c r="H15" s="13">
        <v>315</v>
      </c>
      <c r="I15" s="13">
        <v>358.97</v>
      </c>
      <c r="J15" s="13">
        <v>141.08000000000001</v>
      </c>
      <c r="K15" s="13">
        <v>79</v>
      </c>
      <c r="L15" s="13">
        <v>78</v>
      </c>
      <c r="M15" s="13">
        <v>165</v>
      </c>
      <c r="N15" s="13">
        <v>105</v>
      </c>
      <c r="O15" s="13">
        <v>80</v>
      </c>
      <c r="P15" s="13">
        <v>70</v>
      </c>
      <c r="Q15" s="13">
        <v>160</v>
      </c>
      <c r="R15" s="16">
        <v>0.7</v>
      </c>
      <c r="S15" s="9"/>
      <c r="T15" s="8"/>
    </row>
    <row r="16" spans="1:20" x14ac:dyDescent="0.2">
      <c r="A16" s="9" t="s">
        <v>46</v>
      </c>
      <c r="B16" s="9"/>
      <c r="C16" s="9"/>
      <c r="D16" s="9"/>
      <c r="E16" s="8">
        <v>0</v>
      </c>
      <c r="F16" s="8">
        <v>0</v>
      </c>
      <c r="G16" s="8" t="s">
        <v>95</v>
      </c>
      <c r="H16" s="13">
        <v>536</v>
      </c>
      <c r="I16" s="13">
        <v>604</v>
      </c>
      <c r="J16" s="13">
        <v>266.58999999999997</v>
      </c>
      <c r="K16" s="13">
        <v>134</v>
      </c>
      <c r="L16" s="13">
        <v>161</v>
      </c>
      <c r="M16" s="13">
        <v>235</v>
      </c>
      <c r="N16" s="13">
        <v>155</v>
      </c>
      <c r="O16" s="13">
        <v>105</v>
      </c>
      <c r="P16" s="13">
        <v>80</v>
      </c>
      <c r="Q16" s="13">
        <v>160</v>
      </c>
      <c r="R16" s="16">
        <v>0.7</v>
      </c>
      <c r="S16" s="9"/>
      <c r="T16" s="8"/>
    </row>
    <row r="17" spans="1:20" x14ac:dyDescent="0.2">
      <c r="A17" s="9" t="s">
        <v>47</v>
      </c>
      <c r="B17" s="9"/>
      <c r="C17" s="9"/>
      <c r="D17" s="9"/>
      <c r="E17" s="8">
        <v>0</v>
      </c>
      <c r="F17" s="8">
        <v>0</v>
      </c>
      <c r="G17" s="8" t="s">
        <v>96</v>
      </c>
      <c r="H17" s="13">
        <v>268</v>
      </c>
      <c r="I17" s="13">
        <v>302</v>
      </c>
      <c r="J17" s="13"/>
      <c r="K17" s="13">
        <f>K16/2</f>
        <v>67</v>
      </c>
      <c r="L17" s="13">
        <f>L16/2</f>
        <v>80.5</v>
      </c>
      <c r="M17" s="13">
        <f t="shared" ref="M17:P17" si="0">M16/2</f>
        <v>117.5</v>
      </c>
      <c r="N17" s="13">
        <f t="shared" si="0"/>
        <v>77.5</v>
      </c>
      <c r="O17" s="13">
        <f t="shared" si="0"/>
        <v>52.5</v>
      </c>
      <c r="P17" s="13">
        <f t="shared" si="0"/>
        <v>40</v>
      </c>
      <c r="Q17" s="13">
        <v>160</v>
      </c>
      <c r="R17" s="16">
        <v>0.7</v>
      </c>
      <c r="S17" s="9"/>
      <c r="T17" s="8"/>
    </row>
    <row r="18" spans="1:20" x14ac:dyDescent="0.2">
      <c r="A18" s="9" t="s">
        <v>36</v>
      </c>
      <c r="B18" s="9"/>
      <c r="C18" s="9"/>
      <c r="D18" s="9"/>
      <c r="E18" s="8">
        <v>1</v>
      </c>
      <c r="F18" s="8">
        <v>1</v>
      </c>
      <c r="G18" s="8" t="s">
        <v>97</v>
      </c>
      <c r="H18" s="13">
        <v>440.96</v>
      </c>
      <c r="I18" s="13">
        <v>511.65</v>
      </c>
      <c r="J18" s="13">
        <f>0.7*I18</f>
        <v>358.15499999999997</v>
      </c>
      <c r="K18" s="13">
        <v>142</v>
      </c>
      <c r="L18" s="13">
        <v>171</v>
      </c>
      <c r="M18" s="13">
        <v>235</v>
      </c>
      <c r="N18" s="13">
        <v>155</v>
      </c>
      <c r="O18" s="13">
        <v>105</v>
      </c>
      <c r="P18" s="13">
        <v>80</v>
      </c>
      <c r="Q18" s="13">
        <v>160</v>
      </c>
      <c r="R18" s="16">
        <v>0.3</v>
      </c>
      <c r="S18" s="13">
        <v>250</v>
      </c>
      <c r="T18" s="16">
        <v>0.7</v>
      </c>
    </row>
    <row r="19" spans="1:20" x14ac:dyDescent="0.2">
      <c r="A19" s="9" t="s">
        <v>36</v>
      </c>
      <c r="B19" s="9"/>
      <c r="C19" s="9"/>
      <c r="D19" s="9"/>
      <c r="E19" s="8">
        <v>2</v>
      </c>
      <c r="F19" s="8">
        <v>15</v>
      </c>
      <c r="G19" s="8" t="s">
        <v>98</v>
      </c>
      <c r="H19" s="13">
        <v>440.96</v>
      </c>
      <c r="I19" s="13">
        <v>511.65</v>
      </c>
      <c r="J19" s="13">
        <f>0.7*I19</f>
        <v>358.15499999999997</v>
      </c>
      <c r="K19" s="13">
        <v>142</v>
      </c>
      <c r="L19" s="13">
        <v>171</v>
      </c>
      <c r="M19" s="13">
        <v>305</v>
      </c>
      <c r="N19" s="13">
        <v>220</v>
      </c>
      <c r="O19" s="13">
        <v>160</v>
      </c>
      <c r="P19" s="13">
        <v>120</v>
      </c>
      <c r="Q19" s="13">
        <v>160</v>
      </c>
      <c r="R19" s="16">
        <v>0.3</v>
      </c>
      <c r="S19" s="13">
        <v>250</v>
      </c>
      <c r="T19" s="16">
        <v>0.7</v>
      </c>
    </row>
    <row r="20" spans="1:20" x14ac:dyDescent="0.2">
      <c r="A20" s="9" t="s">
        <v>46</v>
      </c>
      <c r="B20" s="9"/>
      <c r="C20" s="9"/>
      <c r="D20" s="9"/>
      <c r="E20" s="8">
        <v>1</v>
      </c>
      <c r="F20" s="8">
        <v>15</v>
      </c>
      <c r="G20" s="8" t="s">
        <v>99</v>
      </c>
      <c r="H20" s="13">
        <v>566</v>
      </c>
      <c r="I20" s="13">
        <v>640.38</v>
      </c>
      <c r="J20" s="13">
        <f>0.7*I20</f>
        <v>448.26599999999996</v>
      </c>
      <c r="K20" s="13">
        <v>173</v>
      </c>
      <c r="L20" s="13">
        <v>208</v>
      </c>
      <c r="M20" s="13">
        <v>305</v>
      </c>
      <c r="N20" s="13">
        <v>220</v>
      </c>
      <c r="O20" s="13">
        <v>160</v>
      </c>
      <c r="P20" s="13">
        <v>120</v>
      </c>
      <c r="Q20" s="13">
        <v>160</v>
      </c>
      <c r="R20" s="16">
        <v>0.7</v>
      </c>
      <c r="S20" s="9"/>
      <c r="T20" s="8"/>
    </row>
    <row r="21" spans="1:20" x14ac:dyDescent="0.2">
      <c r="A21" s="9" t="s">
        <v>46</v>
      </c>
      <c r="B21" s="9"/>
      <c r="C21" s="9"/>
      <c r="D21" s="9"/>
      <c r="E21" s="8">
        <v>1</v>
      </c>
      <c r="F21" s="8">
        <v>15</v>
      </c>
      <c r="G21" s="8" t="s">
        <v>100</v>
      </c>
      <c r="H21" s="13">
        <v>566</v>
      </c>
      <c r="I21" s="13">
        <v>640.38</v>
      </c>
      <c r="J21" s="13">
        <f>0.7*I21</f>
        <v>448.26599999999996</v>
      </c>
      <c r="K21" s="13">
        <v>173</v>
      </c>
      <c r="L21" s="13">
        <v>208</v>
      </c>
      <c r="M21" s="13">
        <v>305</v>
      </c>
      <c r="N21" s="13">
        <v>220</v>
      </c>
      <c r="O21" s="13">
        <v>160</v>
      </c>
      <c r="P21" s="13">
        <v>120</v>
      </c>
      <c r="Q21" s="13">
        <v>160</v>
      </c>
      <c r="R21" s="16">
        <v>0.7</v>
      </c>
      <c r="S21" s="9"/>
      <c r="T21" s="8"/>
    </row>
    <row r="22" spans="1:20" x14ac:dyDescent="0.2">
      <c r="A22" s="9" t="s">
        <v>47</v>
      </c>
      <c r="B22" s="9"/>
      <c r="C22" s="9"/>
      <c r="D22" s="9"/>
      <c r="E22" s="8">
        <v>1</v>
      </c>
      <c r="F22" s="8">
        <v>15</v>
      </c>
      <c r="G22" s="8"/>
      <c r="H22" s="13">
        <f t="shared" ref="H22:P22" si="1">H20/2</f>
        <v>283</v>
      </c>
      <c r="I22" s="13">
        <f t="shared" si="1"/>
        <v>320.19</v>
      </c>
      <c r="J22" s="13">
        <f t="shared" si="1"/>
        <v>224.13299999999998</v>
      </c>
      <c r="K22" s="13">
        <f t="shared" si="1"/>
        <v>86.5</v>
      </c>
      <c r="L22" s="13">
        <f t="shared" si="1"/>
        <v>104</v>
      </c>
      <c r="M22" s="13">
        <f t="shared" si="1"/>
        <v>152.5</v>
      </c>
      <c r="N22" s="13">
        <f t="shared" si="1"/>
        <v>110</v>
      </c>
      <c r="O22" s="13">
        <f t="shared" si="1"/>
        <v>80</v>
      </c>
      <c r="P22" s="13">
        <f t="shared" si="1"/>
        <v>60</v>
      </c>
      <c r="Q22" s="13">
        <v>160</v>
      </c>
      <c r="R22" s="16">
        <v>0.7</v>
      </c>
      <c r="S22" s="9"/>
      <c r="T22" s="8"/>
    </row>
    <row r="23" spans="1:20" x14ac:dyDescent="0.2">
      <c r="A23" s="9" t="s">
        <v>52</v>
      </c>
      <c r="B23" s="9"/>
      <c r="C23" s="9"/>
      <c r="D23" s="9"/>
      <c r="E23" s="8">
        <v>1</v>
      </c>
      <c r="F23" s="8">
        <v>15</v>
      </c>
      <c r="G23" s="8" t="s">
        <v>101</v>
      </c>
      <c r="H23" s="13">
        <v>283</v>
      </c>
      <c r="I23" s="13">
        <v>320.19</v>
      </c>
      <c r="J23" s="13">
        <f t="shared" ref="J23" si="2">J22/2</f>
        <v>112.06649999999999</v>
      </c>
      <c r="K23" s="13">
        <v>173</v>
      </c>
      <c r="L23" s="13">
        <v>208</v>
      </c>
      <c r="M23" s="13">
        <v>305</v>
      </c>
      <c r="N23" s="13">
        <v>220</v>
      </c>
      <c r="O23" s="13">
        <v>160</v>
      </c>
      <c r="P23" s="13">
        <v>120</v>
      </c>
      <c r="Q23" s="13">
        <v>160</v>
      </c>
      <c r="R23" s="16">
        <v>0.7</v>
      </c>
      <c r="S23" s="9"/>
      <c r="T23" s="8"/>
    </row>
    <row r="24" spans="1:20" x14ac:dyDescent="0.2">
      <c r="A24" s="9" t="s">
        <v>52</v>
      </c>
      <c r="B24" s="9"/>
      <c r="C24" s="9"/>
      <c r="D24" s="9"/>
      <c r="E24" s="8">
        <v>1</v>
      </c>
      <c r="F24" s="8">
        <v>15</v>
      </c>
      <c r="G24" s="8" t="s">
        <v>102</v>
      </c>
      <c r="H24" s="13">
        <v>283</v>
      </c>
      <c r="I24" s="13">
        <v>320.19</v>
      </c>
      <c r="J24" s="13">
        <f t="shared" ref="J24" si="3">J23/2</f>
        <v>56.033249999999995</v>
      </c>
      <c r="K24" s="13">
        <v>173</v>
      </c>
      <c r="L24" s="13">
        <v>208</v>
      </c>
      <c r="M24" s="13">
        <v>305</v>
      </c>
      <c r="N24" s="13">
        <v>220</v>
      </c>
      <c r="O24" s="13">
        <v>160</v>
      </c>
      <c r="P24" s="13">
        <v>120</v>
      </c>
      <c r="Q24" s="13">
        <v>160</v>
      </c>
      <c r="R24" s="16">
        <v>0.7</v>
      </c>
      <c r="S24" s="9"/>
      <c r="T24" s="8"/>
    </row>
    <row r="27" spans="1:20" x14ac:dyDescent="0.2">
      <c r="A27" t="s">
        <v>87</v>
      </c>
    </row>
    <row r="28" spans="1:20" x14ac:dyDescent="0.2">
      <c r="A28" t="s">
        <v>88</v>
      </c>
    </row>
    <row r="31" spans="1:20" x14ac:dyDescent="0.2">
      <c r="D31" s="52" t="s">
        <v>50</v>
      </c>
      <c r="E31" s="53"/>
      <c r="F31" s="53"/>
      <c r="G31" s="54"/>
    </row>
    <row r="32" spans="1:20" x14ac:dyDescent="0.2">
      <c r="A32" s="10" t="s">
        <v>35</v>
      </c>
      <c r="B32" s="10" t="s">
        <v>70</v>
      </c>
      <c r="C32" s="10" t="s">
        <v>84</v>
      </c>
      <c r="D32" s="12">
        <v>1</v>
      </c>
      <c r="E32" s="12">
        <v>2</v>
      </c>
      <c r="F32" s="12">
        <v>3</v>
      </c>
      <c r="G32" s="12">
        <v>4</v>
      </c>
    </row>
    <row r="33" spans="1:9" x14ac:dyDescent="0.2">
      <c r="A33" s="9" t="s">
        <v>36</v>
      </c>
      <c r="B33" s="8">
        <v>0</v>
      </c>
      <c r="C33" s="8" t="str">
        <f>A33&amp;B33</f>
        <v>Single0</v>
      </c>
      <c r="D33" s="13">
        <v>165</v>
      </c>
      <c r="E33" s="13">
        <v>105</v>
      </c>
      <c r="F33" s="13">
        <v>80</v>
      </c>
      <c r="G33" s="13">
        <v>70</v>
      </c>
    </row>
    <row r="34" spans="1:9" x14ac:dyDescent="0.2">
      <c r="A34" s="9" t="s">
        <v>37</v>
      </c>
      <c r="B34" s="8">
        <v>0</v>
      </c>
      <c r="C34" s="8" t="str">
        <f t="shared" ref="C34:C39" si="4">A34&amp;B34</f>
        <v>Couple0</v>
      </c>
      <c r="D34" s="13">
        <v>235</v>
      </c>
      <c r="E34" s="13">
        <v>155</v>
      </c>
      <c r="F34" s="13">
        <v>105</v>
      </c>
      <c r="G34" s="13">
        <v>80</v>
      </c>
    </row>
    <row r="35" spans="1:9" x14ac:dyDescent="0.2">
      <c r="A35" s="9" t="s">
        <v>36</v>
      </c>
      <c r="B35" s="8">
        <v>1</v>
      </c>
      <c r="C35" s="8" t="str">
        <f t="shared" si="4"/>
        <v>Single1</v>
      </c>
      <c r="D35" s="13">
        <v>235</v>
      </c>
      <c r="E35" s="13">
        <v>155</v>
      </c>
      <c r="F35" s="13">
        <v>105</v>
      </c>
      <c r="G35" s="13">
        <v>80</v>
      </c>
    </row>
    <row r="36" spans="1:9" x14ac:dyDescent="0.2">
      <c r="A36" s="9" t="s">
        <v>36</v>
      </c>
      <c r="B36" s="8" t="s">
        <v>89</v>
      </c>
      <c r="C36" s="8" t="str">
        <f t="shared" si="4"/>
        <v>SingleMore</v>
      </c>
      <c r="D36" s="13">
        <v>305</v>
      </c>
      <c r="E36" s="13">
        <v>220</v>
      </c>
      <c r="F36" s="13">
        <v>160</v>
      </c>
      <c r="G36" s="13">
        <v>120</v>
      </c>
      <c r="I36" s="17"/>
    </row>
    <row r="37" spans="1:9" x14ac:dyDescent="0.2">
      <c r="A37" s="9" t="s">
        <v>85</v>
      </c>
      <c r="B37" s="8">
        <v>0</v>
      </c>
      <c r="C37" s="8"/>
      <c r="D37" s="13"/>
      <c r="E37" s="13"/>
      <c r="F37" s="13"/>
      <c r="G37" s="13"/>
      <c r="I37" s="17"/>
    </row>
    <row r="38" spans="1:9" x14ac:dyDescent="0.2">
      <c r="A38" s="9" t="s">
        <v>85</v>
      </c>
      <c r="B38" s="8">
        <v>1</v>
      </c>
      <c r="C38" s="8" t="str">
        <f t="shared" si="4"/>
        <v>Couple11</v>
      </c>
      <c r="D38" s="13">
        <v>305</v>
      </c>
      <c r="E38" s="13">
        <v>220</v>
      </c>
      <c r="F38" s="13">
        <v>160</v>
      </c>
      <c r="G38" s="13">
        <v>120</v>
      </c>
    </row>
    <row r="39" spans="1:9" x14ac:dyDescent="0.2">
      <c r="A39" s="9" t="s">
        <v>85</v>
      </c>
      <c r="B39" s="8" t="s">
        <v>89</v>
      </c>
      <c r="C39" s="8" t="str">
        <f t="shared" si="4"/>
        <v>Couple1More</v>
      </c>
      <c r="D39" s="13">
        <v>305</v>
      </c>
      <c r="E39" s="13">
        <v>220</v>
      </c>
      <c r="F39" s="13">
        <v>160</v>
      </c>
      <c r="G39" s="13">
        <v>120</v>
      </c>
    </row>
  </sheetData>
  <mergeCells count="3">
    <mergeCell ref="M10:P10"/>
    <mergeCell ref="Q10:T10"/>
    <mergeCell ref="D31:G3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9C334-4BD8-5647-AE01-C329E657EB82}">
  <dimension ref="A2:D18"/>
  <sheetViews>
    <sheetView workbookViewId="0">
      <selection activeCell="B18" sqref="B18"/>
    </sheetView>
  </sheetViews>
  <sheetFormatPr baseColWidth="10" defaultRowHeight="16" x14ac:dyDescent="0.2"/>
  <cols>
    <col min="1" max="1" width="25.1640625" customWidth="1"/>
    <col min="2" max="2" width="11.5" bestFit="1" customWidth="1"/>
    <col min="3" max="3" width="16.1640625" customWidth="1"/>
    <col min="4" max="4" width="14.6640625" bestFit="1" customWidth="1"/>
  </cols>
  <sheetData>
    <row r="2" spans="1:4" ht="19" x14ac:dyDescent="0.25">
      <c r="A2" s="21" t="s">
        <v>129</v>
      </c>
    </row>
    <row r="3" spans="1:4" ht="34" x14ac:dyDescent="0.2">
      <c r="A3" s="12" t="s">
        <v>53</v>
      </c>
      <c r="B3" s="11" t="s">
        <v>54</v>
      </c>
      <c r="C3" s="12" t="s">
        <v>128</v>
      </c>
      <c r="D3" s="10" t="s">
        <v>127</v>
      </c>
    </row>
    <row r="4" spans="1:4" x14ac:dyDescent="0.2">
      <c r="A4" s="8" t="s">
        <v>125</v>
      </c>
      <c r="B4" s="9">
        <v>127.73</v>
      </c>
      <c r="C4" s="13">
        <v>32864</v>
      </c>
      <c r="D4" s="23">
        <v>0.27</v>
      </c>
    </row>
    <row r="5" spans="1:4" x14ac:dyDescent="0.2">
      <c r="A5" s="8" t="s">
        <v>126</v>
      </c>
      <c r="B5" s="9">
        <v>104.08</v>
      </c>
      <c r="C5" s="13">
        <v>32864</v>
      </c>
      <c r="D5" s="23">
        <v>0.27</v>
      </c>
    </row>
    <row r="8" spans="1:4" ht="19" x14ac:dyDescent="0.25">
      <c r="A8" s="21" t="s">
        <v>130</v>
      </c>
    </row>
    <row r="9" spans="1:4" x14ac:dyDescent="0.2">
      <c r="B9" s="10" t="s">
        <v>132</v>
      </c>
    </row>
    <row r="10" spans="1:4" x14ac:dyDescent="0.2">
      <c r="B10" s="4">
        <v>32864</v>
      </c>
      <c r="C10" s="17"/>
    </row>
    <row r="11" spans="1:4" x14ac:dyDescent="0.2">
      <c r="A11" t="s">
        <v>319</v>
      </c>
    </row>
    <row r="14" spans="1:4" ht="19" x14ac:dyDescent="0.25">
      <c r="A14" s="21" t="s">
        <v>131</v>
      </c>
    </row>
    <row r="15" spans="1:4" x14ac:dyDescent="0.2">
      <c r="A15" t="s">
        <v>133</v>
      </c>
    </row>
    <row r="16" spans="1:4" x14ac:dyDescent="0.2">
      <c r="A16" t="s">
        <v>336</v>
      </c>
      <c r="B16" s="4">
        <v>72.5</v>
      </c>
    </row>
    <row r="17" spans="1:2" x14ac:dyDescent="0.2">
      <c r="A17" t="s">
        <v>335</v>
      </c>
      <c r="B17" s="4">
        <v>15</v>
      </c>
    </row>
    <row r="18" spans="1:2" x14ac:dyDescent="0.2">
      <c r="A18" t="s">
        <v>127</v>
      </c>
      <c r="B18" s="49">
        <v>0.27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7C21F-68A4-E045-9B05-C92DE9AEE3BD}">
  <dimension ref="A1:I23"/>
  <sheetViews>
    <sheetView workbookViewId="0">
      <selection activeCell="D20" sqref="D20"/>
    </sheetView>
  </sheetViews>
  <sheetFormatPr baseColWidth="10" defaultRowHeight="16" x14ac:dyDescent="0.2"/>
  <cols>
    <col min="1" max="1" width="19.33203125" customWidth="1"/>
    <col min="2" max="2" width="11.5" bestFit="1" customWidth="1"/>
    <col min="3" max="3" width="10.6640625" bestFit="1" customWidth="1"/>
    <col min="5" max="7" width="11.6640625" customWidth="1"/>
  </cols>
  <sheetData>
    <row r="1" spans="1:7" ht="51" x14ac:dyDescent="0.2">
      <c r="A1" s="12" t="s">
        <v>55</v>
      </c>
      <c r="B1" s="12" t="s">
        <v>58</v>
      </c>
      <c r="C1" s="12" t="s">
        <v>59</v>
      </c>
      <c r="D1" s="12" t="s">
        <v>57</v>
      </c>
      <c r="E1" s="12" t="s">
        <v>61</v>
      </c>
      <c r="F1" s="12" t="s">
        <v>62</v>
      </c>
      <c r="G1" s="12" t="s">
        <v>63</v>
      </c>
    </row>
    <row r="2" spans="1:7" x14ac:dyDescent="0.2">
      <c r="A2" s="8">
        <v>1</v>
      </c>
      <c r="B2" s="13"/>
      <c r="C2" s="13">
        <v>837.99</v>
      </c>
      <c r="D2" s="8">
        <v>0</v>
      </c>
      <c r="E2" s="13">
        <v>5.69</v>
      </c>
      <c r="F2" s="13">
        <v>284.5</v>
      </c>
      <c r="G2" s="13">
        <v>113.8</v>
      </c>
    </row>
    <row r="3" spans="1:7" x14ac:dyDescent="0.2">
      <c r="A3" s="8">
        <v>1</v>
      </c>
      <c r="B3" s="13">
        <v>838</v>
      </c>
      <c r="C3" s="13">
        <v>1256.99</v>
      </c>
      <c r="D3" s="8">
        <v>1</v>
      </c>
      <c r="E3" s="13">
        <v>4.53</v>
      </c>
      <c r="F3" s="13">
        <v>226.5</v>
      </c>
      <c r="G3" s="13">
        <v>90.6</v>
      </c>
    </row>
    <row r="4" spans="1:7" x14ac:dyDescent="0.2">
      <c r="A4" s="8">
        <v>1</v>
      </c>
      <c r="B4" s="13">
        <v>1257</v>
      </c>
      <c r="C4" s="13">
        <v>1366.99</v>
      </c>
      <c r="D4" s="8">
        <v>2</v>
      </c>
      <c r="E4" s="13">
        <v>3.17</v>
      </c>
      <c r="F4" s="13">
        <v>158.5</v>
      </c>
      <c r="G4" s="13">
        <v>63.4</v>
      </c>
    </row>
    <row r="5" spans="1:7" x14ac:dyDescent="0.2">
      <c r="A5" s="8">
        <v>1</v>
      </c>
      <c r="B5" s="13">
        <v>1361</v>
      </c>
      <c r="C5" s="13">
        <v>1465.99</v>
      </c>
      <c r="D5" s="8">
        <v>3</v>
      </c>
      <c r="E5" s="13">
        <v>1.77</v>
      </c>
      <c r="F5" s="13">
        <v>88.5</v>
      </c>
      <c r="G5" s="13">
        <v>35.4</v>
      </c>
    </row>
    <row r="6" spans="1:7" x14ac:dyDescent="0.2">
      <c r="A6" s="8">
        <v>2</v>
      </c>
      <c r="B6" s="9"/>
      <c r="C6" s="13">
        <v>962.99</v>
      </c>
      <c r="D6" s="8">
        <v>0</v>
      </c>
      <c r="E6" s="13">
        <v>5.69</v>
      </c>
      <c r="F6" s="13">
        <v>284.5</v>
      </c>
      <c r="G6" s="13">
        <v>113.8</v>
      </c>
    </row>
    <row r="7" spans="1:7" x14ac:dyDescent="0.2">
      <c r="A7" s="8">
        <v>2</v>
      </c>
      <c r="B7" s="13">
        <v>963</v>
      </c>
      <c r="C7" s="13">
        <v>1444.99</v>
      </c>
      <c r="D7" s="8">
        <v>1</v>
      </c>
      <c r="E7" s="13">
        <v>4.53</v>
      </c>
      <c r="F7" s="13">
        <v>226.5</v>
      </c>
      <c r="G7" s="13">
        <v>90.6</v>
      </c>
    </row>
    <row r="8" spans="1:7" x14ac:dyDescent="0.2">
      <c r="A8" s="8">
        <v>2</v>
      </c>
      <c r="B8" s="13">
        <v>1445</v>
      </c>
      <c r="C8" s="13">
        <v>1559.99</v>
      </c>
      <c r="D8" s="8">
        <v>2</v>
      </c>
      <c r="E8" s="13">
        <v>3.17</v>
      </c>
      <c r="F8" s="13">
        <v>158.5</v>
      </c>
      <c r="G8" s="13">
        <v>63.4</v>
      </c>
    </row>
    <row r="9" spans="1:7" x14ac:dyDescent="0.2">
      <c r="A9" s="8">
        <v>2</v>
      </c>
      <c r="B9" s="13">
        <v>1560</v>
      </c>
      <c r="C9" s="13">
        <v>1674.99</v>
      </c>
      <c r="D9" s="8">
        <v>3</v>
      </c>
      <c r="E9" s="13">
        <v>1.77</v>
      </c>
      <c r="F9" s="13">
        <v>88.5</v>
      </c>
      <c r="G9" s="13">
        <v>35.4</v>
      </c>
    </row>
    <row r="10" spans="1:7" x14ac:dyDescent="0.2">
      <c r="A10" s="8" t="s">
        <v>56</v>
      </c>
      <c r="B10" s="9"/>
      <c r="C10" s="13">
        <v>1078.99</v>
      </c>
      <c r="D10" s="8">
        <v>0</v>
      </c>
      <c r="E10" s="13">
        <v>5.69</v>
      </c>
      <c r="F10" s="13">
        <v>284.5</v>
      </c>
      <c r="G10" s="13">
        <v>113.8</v>
      </c>
    </row>
    <row r="11" spans="1:7" x14ac:dyDescent="0.2">
      <c r="A11" s="8" t="s">
        <v>56</v>
      </c>
      <c r="B11" s="13">
        <v>1079</v>
      </c>
      <c r="C11" s="13">
        <v>1612.99</v>
      </c>
      <c r="D11" s="8">
        <v>1</v>
      </c>
      <c r="E11" s="13">
        <v>4.53</v>
      </c>
      <c r="F11" s="13">
        <v>226.5</v>
      </c>
      <c r="G11" s="13">
        <v>90.6</v>
      </c>
    </row>
    <row r="12" spans="1:7" x14ac:dyDescent="0.2">
      <c r="A12" s="8" t="s">
        <v>56</v>
      </c>
      <c r="B12" s="13">
        <v>1613</v>
      </c>
      <c r="C12" s="13">
        <v>1748.99</v>
      </c>
      <c r="D12" s="8">
        <v>2</v>
      </c>
      <c r="E12" s="13">
        <v>3.17</v>
      </c>
      <c r="F12" s="13">
        <v>158.5</v>
      </c>
      <c r="G12" s="13">
        <v>63.4</v>
      </c>
    </row>
    <row r="13" spans="1:7" x14ac:dyDescent="0.2">
      <c r="A13" s="8" t="s">
        <v>56</v>
      </c>
      <c r="B13" s="13">
        <v>1749</v>
      </c>
      <c r="C13" s="13">
        <v>1884.99</v>
      </c>
      <c r="D13" s="8">
        <v>3</v>
      </c>
      <c r="E13" s="13">
        <v>1.77</v>
      </c>
      <c r="F13" s="13">
        <v>88.5</v>
      </c>
      <c r="G13" s="13">
        <v>35.4</v>
      </c>
    </row>
    <row r="15" spans="1:7" x14ac:dyDescent="0.2">
      <c r="A15" t="s">
        <v>60</v>
      </c>
    </row>
    <row r="16" spans="1:7" x14ac:dyDescent="0.2">
      <c r="A16" s="19" t="s">
        <v>150</v>
      </c>
    </row>
    <row r="20" spans="1:9" x14ac:dyDescent="0.2">
      <c r="A20" s="7" t="s">
        <v>163</v>
      </c>
      <c r="B20" s="7" t="s">
        <v>172</v>
      </c>
      <c r="C20" s="7" t="s">
        <v>164</v>
      </c>
      <c r="D20" s="7" t="s">
        <v>165</v>
      </c>
      <c r="E20" s="7" t="s">
        <v>166</v>
      </c>
      <c r="F20" s="7" t="s">
        <v>173</v>
      </c>
      <c r="G20" s="7" t="s">
        <v>167</v>
      </c>
      <c r="H20" s="7" t="s">
        <v>168</v>
      </c>
      <c r="I20" s="7" t="s">
        <v>169</v>
      </c>
    </row>
    <row r="21" spans="1:9" x14ac:dyDescent="0.2">
      <c r="A21" s="9">
        <v>1</v>
      </c>
      <c r="B21" s="28">
        <f>B3</f>
        <v>838</v>
      </c>
      <c r="C21" s="28">
        <f>B4</f>
        <v>1257</v>
      </c>
      <c r="D21" s="28">
        <f>B5</f>
        <v>1361</v>
      </c>
      <c r="E21" s="28">
        <f>C5</f>
        <v>1465.99</v>
      </c>
      <c r="F21" s="28">
        <f>E2</f>
        <v>5.69</v>
      </c>
      <c r="G21" s="28">
        <f>E3</f>
        <v>4.53</v>
      </c>
      <c r="H21" s="28">
        <f>E4</f>
        <v>3.17</v>
      </c>
      <c r="I21" s="28">
        <f>E5</f>
        <v>1.77</v>
      </c>
    </row>
    <row r="22" spans="1:9" x14ac:dyDescent="0.2">
      <c r="A22" s="9">
        <v>2</v>
      </c>
      <c r="B22" s="28">
        <f>B7</f>
        <v>963</v>
      </c>
      <c r="C22" s="28">
        <f>B8</f>
        <v>1445</v>
      </c>
      <c r="D22" s="28">
        <f>B9</f>
        <v>1560</v>
      </c>
      <c r="E22" s="28">
        <f>C10</f>
        <v>1078.99</v>
      </c>
      <c r="F22" s="28">
        <f>E6</f>
        <v>5.69</v>
      </c>
      <c r="G22" s="28">
        <f>E7</f>
        <v>4.53</v>
      </c>
      <c r="H22" s="28">
        <f>E8</f>
        <v>3.17</v>
      </c>
      <c r="I22" s="28">
        <f>E9</f>
        <v>1.77</v>
      </c>
    </row>
    <row r="23" spans="1:9" x14ac:dyDescent="0.2">
      <c r="A23" s="9">
        <v>3</v>
      </c>
      <c r="B23" s="28">
        <f>B11</f>
        <v>1079</v>
      </c>
      <c r="C23" s="28">
        <f>B12</f>
        <v>1613</v>
      </c>
      <c r="D23" s="28">
        <f>B13</f>
        <v>1749</v>
      </c>
      <c r="E23" s="28">
        <f>C13</f>
        <v>1884.99</v>
      </c>
      <c r="F23" s="28">
        <f>E10</f>
        <v>5.69</v>
      </c>
      <c r="G23" s="28">
        <f>E11</f>
        <v>4.53</v>
      </c>
      <c r="H23" s="28">
        <f>E12</f>
        <v>3.17</v>
      </c>
      <c r="I23" s="28">
        <f>E13</f>
        <v>1.77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107C5-D144-0E4E-B806-A9361533C52E}">
  <dimension ref="A1:BG122"/>
  <sheetViews>
    <sheetView tabSelected="1" workbookViewId="0">
      <pane xSplit="2" ySplit="11" topLeftCell="C12" activePane="bottomRight" state="frozen"/>
      <selection pane="topRight" activeCell="C1" sqref="C1"/>
      <selection pane="bottomLeft" activeCell="A11" sqref="A11"/>
      <selection pane="bottomRight" activeCell="AZ62" sqref="AZ62:AZ122"/>
    </sheetView>
  </sheetViews>
  <sheetFormatPr baseColWidth="10" defaultRowHeight="16" outlineLevelRow="1" x14ac:dyDescent="0.2"/>
  <cols>
    <col min="1" max="1" width="45.33203125" customWidth="1"/>
    <col min="2" max="2" width="24.6640625" customWidth="1"/>
    <col min="3" max="3" width="14.1640625" customWidth="1"/>
    <col min="4" max="4" width="14.6640625" customWidth="1"/>
    <col min="5" max="5" width="12.83203125" customWidth="1"/>
    <col min="6" max="6" width="12" customWidth="1"/>
    <col min="7" max="7" width="13.6640625" customWidth="1"/>
    <col min="8" max="8" width="15" customWidth="1"/>
    <col min="9" max="11" width="15.83203125" customWidth="1"/>
    <col min="12" max="12" width="16" customWidth="1"/>
    <col min="13" max="16" width="11.5" customWidth="1"/>
    <col min="17" max="17" width="15.6640625" customWidth="1"/>
    <col min="18" max="18" width="12" customWidth="1"/>
    <col min="19" max="19" width="11.6640625" customWidth="1"/>
    <col min="26" max="26" width="12.1640625" customWidth="1"/>
    <col min="27" max="27" width="11.5" customWidth="1"/>
    <col min="28" max="28" width="13.5" customWidth="1"/>
    <col min="29" max="29" width="13.83203125" customWidth="1"/>
    <col min="30" max="30" width="14" customWidth="1"/>
  </cols>
  <sheetData>
    <row r="1" spans="1:16" ht="17" thickBot="1" x14ac:dyDescent="0.25">
      <c r="A1" s="18" t="s">
        <v>74</v>
      </c>
    </row>
    <row r="2" spans="1:16" ht="17" x14ac:dyDescent="0.2">
      <c r="A2" s="43" t="s">
        <v>75</v>
      </c>
      <c r="B2" s="39" t="s">
        <v>36</v>
      </c>
      <c r="C2" s="19" t="s">
        <v>223</v>
      </c>
      <c r="D2" s="6"/>
      <c r="E2" s="6"/>
      <c r="F2" s="6"/>
      <c r="G2" s="6"/>
      <c r="H2" s="6"/>
      <c r="I2" s="6"/>
      <c r="J2" s="6"/>
      <c r="K2" s="6"/>
    </row>
    <row r="3" spans="1:16" x14ac:dyDescent="0.2">
      <c r="A3" s="44" t="s">
        <v>214</v>
      </c>
      <c r="B3" s="40">
        <v>0</v>
      </c>
      <c r="C3" s="6"/>
      <c r="D3" s="6"/>
      <c r="E3" s="6"/>
      <c r="F3" s="6"/>
      <c r="G3" s="6"/>
      <c r="H3" s="6"/>
      <c r="I3" s="6"/>
      <c r="J3" s="6"/>
      <c r="K3" s="6"/>
    </row>
    <row r="4" spans="1:16" x14ac:dyDescent="0.2">
      <c r="A4" s="44" t="s">
        <v>215</v>
      </c>
      <c r="B4" s="40">
        <v>1</v>
      </c>
      <c r="C4" s="19" t="s">
        <v>222</v>
      </c>
      <c r="D4" s="5"/>
      <c r="E4" s="5"/>
      <c r="F4" s="5"/>
      <c r="G4" s="5"/>
      <c r="H4" s="5"/>
      <c r="I4" s="5"/>
      <c r="J4" s="5"/>
      <c r="K4" s="5"/>
      <c r="L4" s="17"/>
      <c r="M4" s="17"/>
      <c r="N4" s="17"/>
      <c r="O4" s="17"/>
      <c r="P4" s="17"/>
    </row>
    <row r="5" spans="1:16" x14ac:dyDescent="0.2">
      <c r="A5" s="44" t="s">
        <v>73</v>
      </c>
      <c r="B5" s="40">
        <v>1</v>
      </c>
      <c r="C5" s="5"/>
      <c r="D5" s="5"/>
      <c r="E5" s="5"/>
      <c r="F5" s="5"/>
      <c r="G5" s="5"/>
      <c r="H5" s="5"/>
      <c r="I5" s="5"/>
      <c r="J5" s="5"/>
      <c r="K5" s="5"/>
    </row>
    <row r="6" spans="1:16" x14ac:dyDescent="0.2">
      <c r="A6" s="44" t="s">
        <v>77</v>
      </c>
      <c r="B6" s="40">
        <v>1</v>
      </c>
      <c r="C6" s="19" t="s">
        <v>78</v>
      </c>
      <c r="D6" s="19"/>
      <c r="E6" s="19"/>
      <c r="F6" s="19"/>
      <c r="G6" s="19"/>
      <c r="H6" s="5"/>
      <c r="I6" s="5"/>
      <c r="J6" s="5"/>
      <c r="K6" s="5"/>
    </row>
    <row r="7" spans="1:16" x14ac:dyDescent="0.2">
      <c r="A7" s="44" t="s">
        <v>38</v>
      </c>
      <c r="B7" s="40">
        <v>26</v>
      </c>
      <c r="C7" s="19" t="s">
        <v>90</v>
      </c>
      <c r="D7" s="19"/>
      <c r="E7" s="19"/>
      <c r="F7" s="19"/>
      <c r="G7" s="19"/>
      <c r="H7" s="5"/>
      <c r="I7" s="5"/>
      <c r="J7" s="5"/>
      <c r="K7" s="5"/>
    </row>
    <row r="8" spans="1:16" x14ac:dyDescent="0.2">
      <c r="A8" s="44" t="s">
        <v>104</v>
      </c>
      <c r="B8" s="40" t="s">
        <v>113</v>
      </c>
      <c r="C8" s="19" t="s">
        <v>105</v>
      </c>
      <c r="D8" s="19"/>
      <c r="E8" s="19"/>
      <c r="F8" s="19"/>
      <c r="G8" s="19"/>
      <c r="H8" s="5"/>
      <c r="I8" s="5"/>
      <c r="J8" s="5"/>
      <c r="K8" s="5"/>
    </row>
    <row r="9" spans="1:16" x14ac:dyDescent="0.2">
      <c r="A9" s="44" t="s">
        <v>121</v>
      </c>
      <c r="B9" s="41">
        <v>300</v>
      </c>
      <c r="C9" s="19" t="s">
        <v>247</v>
      </c>
      <c r="D9" s="19"/>
      <c r="E9" s="19"/>
      <c r="F9" s="19"/>
      <c r="G9" s="19"/>
      <c r="H9" s="5"/>
      <c r="I9" s="5"/>
      <c r="J9" s="5"/>
      <c r="K9" s="5"/>
    </row>
    <row r="10" spans="1:16" x14ac:dyDescent="0.2">
      <c r="A10" s="44" t="s">
        <v>320</v>
      </c>
      <c r="B10" s="41"/>
      <c r="C10" s="19"/>
      <c r="D10" s="19"/>
      <c r="E10" s="19"/>
      <c r="F10" s="19"/>
      <c r="G10" s="19"/>
      <c r="H10" s="5"/>
      <c r="I10" s="5"/>
      <c r="J10" s="5"/>
      <c r="K10" s="5"/>
    </row>
    <row r="11" spans="1:16" ht="17" thickBot="1" x14ac:dyDescent="0.25">
      <c r="A11" s="45" t="s">
        <v>286</v>
      </c>
      <c r="B11" s="42"/>
      <c r="C11" s="19" t="s">
        <v>287</v>
      </c>
      <c r="D11" s="19"/>
      <c r="E11" s="19"/>
      <c r="F11" s="19"/>
      <c r="G11" s="19"/>
      <c r="H11" s="5"/>
      <c r="I11" s="5"/>
      <c r="J11" s="5"/>
      <c r="K11" s="5"/>
    </row>
    <row r="12" spans="1:16" x14ac:dyDescent="0.2">
      <c r="B12" s="19"/>
      <c r="C12" s="19"/>
      <c r="D12" s="19"/>
      <c r="E12" s="19"/>
      <c r="F12" s="19"/>
      <c r="G12" s="19"/>
      <c r="H12" s="5"/>
      <c r="I12" s="5"/>
      <c r="J12" s="5"/>
      <c r="K12" s="5"/>
    </row>
    <row r="13" spans="1:16" x14ac:dyDescent="0.2">
      <c r="B13" s="19"/>
      <c r="C13" s="19"/>
      <c r="D13" s="19"/>
      <c r="E13" s="19"/>
      <c r="F13" s="19"/>
      <c r="G13" s="19"/>
      <c r="H13" s="5"/>
      <c r="I13" s="5"/>
      <c r="J13" s="5"/>
      <c r="K13" s="5"/>
    </row>
    <row r="14" spans="1:16" x14ac:dyDescent="0.2">
      <c r="A14" t="s">
        <v>76</v>
      </c>
      <c r="B14" s="5">
        <f>B3+B4+B5</f>
        <v>2</v>
      </c>
      <c r="C14" s="5"/>
      <c r="D14" s="5"/>
      <c r="E14" s="5"/>
      <c r="F14" s="5"/>
      <c r="G14" s="5"/>
      <c r="H14" s="5"/>
      <c r="I14" s="5"/>
      <c r="J14" s="5"/>
      <c r="K14" s="5"/>
    </row>
    <row r="15" spans="1:16" x14ac:dyDescent="0.2">
      <c r="A15" t="s">
        <v>107</v>
      </c>
      <c r="B15" s="5" t="str" cm="1">
        <f t="array" ref="B15">_xlfn.XLOOKUP(B2,LivingSituationLookup,LivingSituationValue)</f>
        <v>Single</v>
      </c>
      <c r="C15" s="6"/>
      <c r="D15" s="6"/>
      <c r="E15" s="6"/>
      <c r="F15" s="6"/>
      <c r="G15" s="6"/>
      <c r="H15" s="6"/>
      <c r="I15" s="6"/>
      <c r="J15" s="6"/>
      <c r="K15" s="6"/>
    </row>
    <row r="16" spans="1:16" x14ac:dyDescent="0.2">
      <c r="A16" t="s">
        <v>106</v>
      </c>
      <c r="B16" s="5" t="str">
        <f>_xlfn.XLOOKUP(B8,LivingAtHomeLookup,LivingAtHomeValue)</f>
        <v>AwH</v>
      </c>
      <c r="C16" s="6"/>
      <c r="D16" s="6"/>
      <c r="E16" s="31"/>
      <c r="F16" s="6"/>
      <c r="G16" s="6"/>
      <c r="H16" s="6"/>
      <c r="I16" s="6"/>
      <c r="J16" s="6"/>
      <c r="K16" s="6"/>
    </row>
    <row r="17" spans="1:11" x14ac:dyDescent="0.2">
      <c r="A17" t="s">
        <v>108</v>
      </c>
      <c r="B17" s="5" t="str">
        <f>IF(B15="Single",IF(B7&lt;20,"_U20",IF(B7&lt;25,"_U25","_O25")),"_O25")</f>
        <v>_O25</v>
      </c>
      <c r="C17" s="6"/>
      <c r="D17" s="31"/>
      <c r="E17" s="6"/>
      <c r="F17" s="6"/>
      <c r="G17" s="6"/>
      <c r="H17" s="6"/>
      <c r="I17" s="6"/>
      <c r="J17" s="6"/>
      <c r="K17" s="6"/>
    </row>
    <row r="18" spans="1:11" x14ac:dyDescent="0.2">
      <c r="A18" t="s">
        <v>109</v>
      </c>
      <c r="B18" s="5" t="str">
        <f>IF(B14&lt;2,"_"&amp;B14,"_More")</f>
        <v>_More</v>
      </c>
      <c r="C18" s="6"/>
      <c r="D18" s="31"/>
      <c r="E18" s="31"/>
      <c r="F18" s="6"/>
      <c r="G18" s="6"/>
      <c r="H18" s="6"/>
      <c r="I18" s="6"/>
      <c r="J18" s="6"/>
      <c r="K18" s="6"/>
    </row>
    <row r="19" spans="1:11" x14ac:dyDescent="0.2">
      <c r="A19" t="s">
        <v>110</v>
      </c>
      <c r="B19" s="5" t="str">
        <f>B15&amp;"_"&amp;B16&amp;B17&amp;B18</f>
        <v>Single_AwH_O25_More</v>
      </c>
      <c r="C19" s="5"/>
      <c r="D19" s="5"/>
      <c r="E19" s="5"/>
      <c r="F19" s="5"/>
      <c r="G19" s="5"/>
      <c r="H19" s="5"/>
      <c r="I19" s="5"/>
      <c r="J19" s="5"/>
      <c r="K19" s="5"/>
    </row>
    <row r="20" spans="1:11" x14ac:dyDescent="0.2">
      <c r="B20" s="5"/>
      <c r="C20" s="5"/>
      <c r="D20" s="5"/>
      <c r="E20" s="5"/>
      <c r="F20" s="5"/>
      <c r="G20" s="5"/>
      <c r="H20" s="5"/>
      <c r="I20" s="5"/>
      <c r="J20" s="5"/>
      <c r="K20" s="5"/>
    </row>
    <row r="21" spans="1:11" x14ac:dyDescent="0.2">
      <c r="A21" t="s">
        <v>119</v>
      </c>
      <c r="B21" s="22">
        <f>_xlfn.XLOOKUP(B$19,MainBenefitLookup,MainBenefitValues)</f>
        <v>511.65</v>
      </c>
      <c r="C21" s="5"/>
      <c r="D21" s="5"/>
      <c r="E21" s="5"/>
      <c r="F21" s="5"/>
      <c r="G21" s="5"/>
      <c r="H21" s="5"/>
      <c r="I21" s="5"/>
      <c r="J21" s="5"/>
      <c r="K21" s="5"/>
    </row>
    <row r="22" spans="1:11" x14ac:dyDescent="0.2">
      <c r="A22" t="s">
        <v>120</v>
      </c>
      <c r="B22" s="22" cm="1">
        <f t="array" ref="B22">_xlfn.XLOOKUP(B$19,MainBenefitLookup,_xlfn.XLOOKUP(B6,AccommodationSupplementHeader,AccommodationSupplementValues))</f>
        <v>305</v>
      </c>
      <c r="C22" s="5"/>
      <c r="D22" s="5"/>
      <c r="E22" s="5"/>
      <c r="F22" s="5"/>
      <c r="G22" s="5"/>
      <c r="H22" s="5"/>
      <c r="I22" s="5"/>
      <c r="J22" s="5"/>
      <c r="K22" s="5"/>
    </row>
    <row r="23" spans="1:11" x14ac:dyDescent="0.2">
      <c r="A23" t="s">
        <v>122</v>
      </c>
      <c r="B23" s="22">
        <f>_xlfn.XLOOKUP(B$19,MainBenefitLookup,MainBenefitAbatementThresholdValues)</f>
        <v>160</v>
      </c>
      <c r="C23" s="5"/>
      <c r="D23" s="24"/>
      <c r="E23" s="5"/>
      <c r="F23" s="5"/>
      <c r="G23" s="5"/>
      <c r="H23" s="5"/>
      <c r="I23" s="5"/>
      <c r="J23" s="5"/>
      <c r="K23" s="5"/>
    </row>
    <row r="24" spans="1:11" x14ac:dyDescent="0.2">
      <c r="A24" t="s">
        <v>86</v>
      </c>
      <c r="B24" s="14">
        <f>_xlfn.XLOOKUP(B$19,MainBenefitLookup,MainBenefitAbatementValues)</f>
        <v>0.3</v>
      </c>
      <c r="C24" s="5"/>
      <c r="D24" s="24"/>
      <c r="E24" s="5"/>
      <c r="F24" s="5"/>
      <c r="G24" s="5"/>
      <c r="H24" s="5"/>
      <c r="I24" s="5"/>
      <c r="J24" s="5"/>
      <c r="K24" s="5"/>
    </row>
    <row r="25" spans="1:11" x14ac:dyDescent="0.2">
      <c r="A25" t="s">
        <v>123</v>
      </c>
      <c r="B25" s="22" cm="1">
        <f t="array" ref="B25">_xlfn.XLOOKUP(B$19,MainBenefitLookup,MainBenefitAbatementThreshold2Values)</f>
        <v>250</v>
      </c>
      <c r="C25" s="5"/>
      <c r="D25" s="24"/>
      <c r="E25" s="5"/>
      <c r="F25" s="5"/>
      <c r="G25" s="5"/>
      <c r="H25" s="5"/>
      <c r="I25" s="5"/>
      <c r="J25" s="5"/>
      <c r="K25" s="5"/>
    </row>
    <row r="26" spans="1:11" x14ac:dyDescent="0.2">
      <c r="A26" t="s">
        <v>124</v>
      </c>
      <c r="B26" s="14" cm="1">
        <f t="array" ref="B26">_xlfn.XLOOKUP(B$19,MainBenefitLookup,MainBenefitAbatement2Values)</f>
        <v>0.7</v>
      </c>
      <c r="C26" s="5"/>
      <c r="D26" s="24"/>
      <c r="E26" s="5"/>
      <c r="F26" s="5"/>
      <c r="G26" s="5"/>
      <c r="H26" s="5"/>
      <c r="I26" s="5"/>
      <c r="J26" s="5"/>
      <c r="K26" s="5"/>
    </row>
    <row r="27" spans="1:11" x14ac:dyDescent="0.2">
      <c r="A27" t="s">
        <v>311</v>
      </c>
      <c r="B27" s="22">
        <f>IF(B25&lt;1,B21/B24+B23,B25+(B21-(B25-B23)*B24)/B26)</f>
        <v>942.35714285714289</v>
      </c>
      <c r="C27" s="19" t="s">
        <v>312</v>
      </c>
      <c r="D27" s="24"/>
      <c r="E27" s="5"/>
      <c r="F27" s="5"/>
      <c r="G27" s="5"/>
      <c r="H27" s="5"/>
      <c r="I27" s="5"/>
      <c r="J27" s="5"/>
      <c r="K27" s="5"/>
    </row>
    <row r="28" spans="1:11" x14ac:dyDescent="0.2">
      <c r="A28" t="s">
        <v>134</v>
      </c>
      <c r="B28" s="22">
        <f>IF(B14=0,0,IF(B14=1,FTC_FirstChild,FTC_FirstChild+(B14-1)*FTC_SubsequentChild))</f>
        <v>231.81</v>
      </c>
      <c r="C28" s="5"/>
      <c r="D28" s="24"/>
      <c r="E28" s="5"/>
      <c r="F28" s="5"/>
      <c r="G28" s="5"/>
      <c r="H28" s="5"/>
      <c r="I28" s="5"/>
      <c r="J28" s="5"/>
      <c r="K28" s="5"/>
    </row>
    <row r="29" spans="1:11" x14ac:dyDescent="0.2">
      <c r="A29" t="s">
        <v>135</v>
      </c>
      <c r="B29" s="22">
        <f>FTC_Threshold/52</f>
        <v>632</v>
      </c>
      <c r="C29" s="5"/>
      <c r="D29" s="5"/>
      <c r="E29" s="5"/>
      <c r="F29" s="5"/>
      <c r="G29" s="5"/>
      <c r="H29" s="5"/>
      <c r="I29" s="5"/>
      <c r="J29" s="5"/>
      <c r="K29" s="5"/>
    </row>
    <row r="30" spans="1:11" x14ac:dyDescent="0.2">
      <c r="A30" t="s">
        <v>136</v>
      </c>
      <c r="B30" s="14">
        <f>FTC_AbatementRate</f>
        <v>0.27</v>
      </c>
      <c r="C30" s="5"/>
      <c r="D30" s="5"/>
      <c r="E30" s="5"/>
      <c r="F30" s="5"/>
      <c r="G30" s="5"/>
      <c r="H30" s="5"/>
      <c r="I30" s="5"/>
      <c r="J30" s="5"/>
      <c r="K30" s="5"/>
    </row>
    <row r="31" spans="1:11" x14ac:dyDescent="0.2">
      <c r="A31" t="s">
        <v>321</v>
      </c>
      <c r="B31" s="46">
        <f>IF(B15="Single",20,30)</f>
        <v>20</v>
      </c>
      <c r="C31" s="5"/>
      <c r="D31" s="5"/>
      <c r="E31" s="5"/>
      <c r="F31" s="5"/>
      <c r="G31" s="5"/>
      <c r="H31" s="5"/>
      <c r="I31" s="5"/>
      <c r="J31" s="5"/>
      <c r="K31" s="5"/>
    </row>
    <row r="32" spans="1:11" x14ac:dyDescent="0.2">
      <c r="A32" t="s">
        <v>325</v>
      </c>
      <c r="B32" s="46">
        <f>IF(B15="Single",0,B10)</f>
        <v>0</v>
      </c>
      <c r="C32" s="5"/>
      <c r="D32" s="5"/>
      <c r="E32" s="5"/>
      <c r="F32" s="5"/>
      <c r="G32" s="5"/>
      <c r="H32" s="5"/>
      <c r="I32" s="5"/>
      <c r="J32" s="5"/>
      <c r="K32" s="5"/>
    </row>
    <row r="33" spans="1:11" x14ac:dyDescent="0.2">
      <c r="A33" t="s">
        <v>328</v>
      </c>
      <c r="B33" s="48">
        <f>'Family Tax Credits'!B10/52</f>
        <v>632</v>
      </c>
      <c r="C33" s="5"/>
      <c r="D33" s="5"/>
      <c r="E33" s="5"/>
      <c r="F33" s="5"/>
      <c r="G33" s="5"/>
      <c r="H33" s="5"/>
      <c r="I33" s="5"/>
      <c r="J33" s="5"/>
      <c r="K33" s="5"/>
    </row>
    <row r="34" spans="1:11" x14ac:dyDescent="0.2">
      <c r="A34" t="s">
        <v>334</v>
      </c>
      <c r="B34" s="48">
        <f>IF(B14=0,0,IF(B14&lt;4,'Family Tax Credits'!B16,'Family Tax Credits'!B16+'Family Tax Credits'!B17*(B14-3)))</f>
        <v>72.5</v>
      </c>
      <c r="C34" s="5"/>
      <c r="D34" s="5"/>
      <c r="E34" s="5"/>
      <c r="F34" s="5"/>
      <c r="G34" s="5"/>
      <c r="H34" s="5"/>
      <c r="I34" s="5"/>
      <c r="J34" s="5"/>
      <c r="K34" s="5"/>
    </row>
    <row r="35" spans="1:11" x14ac:dyDescent="0.2">
      <c r="A35" t="s">
        <v>338</v>
      </c>
      <c r="B35" s="14">
        <f>IWTC_AbatementRate</f>
        <v>0.27</v>
      </c>
      <c r="C35" s="5"/>
      <c r="D35" s="5"/>
      <c r="E35" s="5"/>
      <c r="F35" s="5"/>
      <c r="G35" s="5"/>
      <c r="H35" s="5"/>
      <c r="I35" s="5"/>
      <c r="J35" s="5"/>
      <c r="K35" s="5"/>
    </row>
    <row r="36" spans="1:11" x14ac:dyDescent="0.2">
      <c r="A36" t="s">
        <v>339</v>
      </c>
      <c r="B36" s="22">
        <f>B29+B28/B30</f>
        <v>1490.5555555555557</v>
      </c>
      <c r="C36" s="5"/>
      <c r="D36" s="5"/>
      <c r="E36" s="5"/>
      <c r="F36" s="5"/>
      <c r="G36" s="5"/>
      <c r="H36" s="5"/>
      <c r="I36" s="5"/>
      <c r="J36" s="5"/>
      <c r="K36" s="5"/>
    </row>
    <row r="37" spans="1:11" x14ac:dyDescent="0.2">
      <c r="A37" t="s">
        <v>154</v>
      </c>
      <c r="B37" s="4">
        <v>0</v>
      </c>
      <c r="C37" s="5"/>
      <c r="D37" s="5"/>
      <c r="E37" s="5"/>
      <c r="F37" s="5"/>
      <c r="G37" s="5"/>
      <c r="H37" s="5"/>
      <c r="I37" s="5"/>
      <c r="J37" s="5"/>
      <c r="K37" s="5"/>
    </row>
    <row r="38" spans="1:11" x14ac:dyDescent="0.2">
      <c r="A38" t="s">
        <v>155</v>
      </c>
      <c r="B38" s="22">
        <f>IF(B$15="Single",14000,28000)</f>
        <v>14000</v>
      </c>
      <c r="C38" s="22">
        <f>0.14*B38</f>
        <v>1960.0000000000002</v>
      </c>
      <c r="D38" s="24">
        <f>B38-C38</f>
        <v>12040</v>
      </c>
      <c r="E38" s="14">
        <f>1/(1-0.175)-1</f>
        <v>0.21212121212121215</v>
      </c>
      <c r="F38" s="5"/>
      <c r="G38" s="5"/>
      <c r="H38" s="5"/>
      <c r="I38" s="5"/>
      <c r="J38" s="5"/>
      <c r="K38" s="5"/>
    </row>
    <row r="39" spans="1:11" x14ac:dyDescent="0.2">
      <c r="A39" t="s">
        <v>156</v>
      </c>
      <c r="B39" s="22">
        <f>IF(B$15="Single",48000,96000)</f>
        <v>48000</v>
      </c>
      <c r="C39" s="24">
        <f>C38+(B39-B38)*0.175</f>
        <v>7910</v>
      </c>
      <c r="D39" s="24">
        <f>B39-C39</f>
        <v>40090</v>
      </c>
      <c r="E39" s="14">
        <f>1/(1-0.3)-1</f>
        <v>0.4285714285714286</v>
      </c>
      <c r="F39" s="5"/>
      <c r="G39" s="24"/>
      <c r="H39" s="5"/>
      <c r="I39" s="5"/>
      <c r="J39" s="5"/>
      <c r="K39" s="5"/>
    </row>
    <row r="40" spans="1:11" x14ac:dyDescent="0.2">
      <c r="A40" t="s">
        <v>157</v>
      </c>
      <c r="B40" s="22">
        <f>IF(B$15="Single",70000,140000)</f>
        <v>70000</v>
      </c>
      <c r="C40" s="24">
        <f>C39+(B40-B39)*0.3</f>
        <v>14510</v>
      </c>
      <c r="D40" s="24">
        <f>B40-C40</f>
        <v>55490</v>
      </c>
      <c r="E40" s="5"/>
      <c r="F40" s="5"/>
      <c r="G40" s="5"/>
      <c r="H40" s="5"/>
      <c r="I40" s="5"/>
      <c r="J40" s="5"/>
      <c r="K40" s="5"/>
    </row>
    <row r="41" spans="1:11" x14ac:dyDescent="0.2">
      <c r="A41" t="s">
        <v>158</v>
      </c>
      <c r="B41" s="22">
        <f>IF(B$15="Single",180000,360000)</f>
        <v>180000</v>
      </c>
      <c r="C41" s="24">
        <f>C40+(B41-B40)*0.33</f>
        <v>50810</v>
      </c>
      <c r="D41" s="24">
        <f>B41-C41</f>
        <v>129190</v>
      </c>
      <c r="E41" s="5"/>
      <c r="F41" s="5"/>
      <c r="G41" s="5"/>
      <c r="H41" s="5"/>
      <c r="I41" s="5"/>
      <c r="J41" s="5"/>
      <c r="K41" s="5"/>
    </row>
    <row r="42" spans="1:11" x14ac:dyDescent="0.2">
      <c r="B42" s="22"/>
      <c r="C42" s="24"/>
      <c r="D42" s="5"/>
      <c r="E42" s="5"/>
      <c r="F42" s="5"/>
      <c r="G42" s="5"/>
      <c r="H42" s="5"/>
      <c r="I42" s="5"/>
      <c r="J42" s="5"/>
      <c r="K42" s="5"/>
    </row>
    <row r="43" spans="1:11" x14ac:dyDescent="0.2">
      <c r="A43" t="s">
        <v>170</v>
      </c>
      <c r="B43" s="22"/>
      <c r="C43" s="24"/>
      <c r="D43" s="5"/>
      <c r="E43" s="5"/>
      <c r="F43" s="5"/>
      <c r="G43" s="5"/>
      <c r="H43" s="5"/>
      <c r="I43" s="5"/>
      <c r="J43" s="5"/>
      <c r="K43" s="5"/>
    </row>
    <row r="44" spans="1:11" x14ac:dyDescent="0.2">
      <c r="A44" t="s">
        <v>171</v>
      </c>
      <c r="B44" s="25">
        <f>IF(B14&lt;2,1,IF(B14&gt;2,3,2))</f>
        <v>2</v>
      </c>
      <c r="C44" s="24"/>
      <c r="D44" s="5"/>
      <c r="E44" s="5"/>
      <c r="F44" s="5"/>
      <c r="G44" s="5"/>
      <c r="H44" s="5"/>
      <c r="I44" s="5"/>
      <c r="J44" s="5"/>
      <c r="K44" s="5"/>
    </row>
    <row r="45" spans="1:11" x14ac:dyDescent="0.2">
      <c r="A45" t="s">
        <v>172</v>
      </c>
      <c r="B45" s="22" cm="1">
        <f t="array" ref="B45">_xlfn.XLOOKUP(B$44,CCO_NumberChildren,_xlfn.XLOOKUP(A45,CCO_Lookup,CCO_Value))</f>
        <v>963</v>
      </c>
      <c r="C45" s="24"/>
      <c r="D45" s="5"/>
      <c r="E45" s="5"/>
      <c r="F45" s="5"/>
      <c r="G45" s="5"/>
      <c r="H45" s="5"/>
      <c r="I45" s="5"/>
      <c r="J45" s="5"/>
      <c r="K45" s="5"/>
    </row>
    <row r="46" spans="1:11" x14ac:dyDescent="0.2">
      <c r="A46" t="s">
        <v>164</v>
      </c>
      <c r="B46" s="22" cm="1">
        <f t="array" ref="B46">_xlfn.XLOOKUP(B$44,CCO_NumberChildren,_xlfn.XLOOKUP(A46,CCO_Lookup,CCO_Value))</f>
        <v>1445</v>
      </c>
      <c r="C46" s="24"/>
      <c r="D46" s="5"/>
      <c r="E46" s="5"/>
      <c r="F46" s="5"/>
      <c r="G46" s="5"/>
      <c r="H46" s="5"/>
      <c r="I46" s="5"/>
      <c r="J46" s="5"/>
      <c r="K46" s="5"/>
    </row>
    <row r="47" spans="1:11" x14ac:dyDescent="0.2">
      <c r="A47" t="s">
        <v>165</v>
      </c>
      <c r="B47" s="22" cm="1">
        <f t="array" ref="B47">_xlfn.XLOOKUP(B$44,CCO_NumberChildren,_xlfn.XLOOKUP(A47,CCO_Lookup,CCO_Value))</f>
        <v>1560</v>
      </c>
      <c r="C47" s="24"/>
      <c r="D47" s="5"/>
      <c r="E47" s="5"/>
      <c r="F47" s="5"/>
      <c r="G47" s="5"/>
      <c r="H47" s="5"/>
      <c r="I47" s="5"/>
      <c r="J47" s="5"/>
      <c r="K47" s="5"/>
    </row>
    <row r="48" spans="1:11" x14ac:dyDescent="0.2">
      <c r="A48" t="s">
        <v>166</v>
      </c>
      <c r="B48" s="22" cm="1">
        <f t="array" ref="B48">_xlfn.XLOOKUP(B$44,CCO_NumberChildren,_xlfn.XLOOKUP(A48,CCO_Lookup,CCO_Value))</f>
        <v>1078.99</v>
      </c>
      <c r="C48" s="24"/>
      <c r="D48" s="5"/>
      <c r="E48" s="5"/>
      <c r="F48" s="5"/>
      <c r="G48" s="5"/>
      <c r="H48" s="5"/>
      <c r="I48" s="5"/>
      <c r="J48" s="5"/>
      <c r="K48" s="5"/>
    </row>
    <row r="49" spans="1:59" x14ac:dyDescent="0.2">
      <c r="A49" t="s">
        <v>173</v>
      </c>
      <c r="B49" s="22" cm="1">
        <f t="array" ref="B49">_xlfn.XLOOKUP(B$44,CCO_NumberChildren,_xlfn.XLOOKUP(A49,CCO_Lookup,CCO_Value))</f>
        <v>5.69</v>
      </c>
      <c r="C49" s="24"/>
      <c r="D49" s="5"/>
      <c r="E49" s="5"/>
      <c r="F49" s="5"/>
      <c r="G49" s="5"/>
      <c r="H49" s="5"/>
      <c r="I49" s="5"/>
      <c r="J49" s="5"/>
      <c r="K49" s="5"/>
    </row>
    <row r="50" spans="1:59" x14ac:dyDescent="0.2">
      <c r="A50" t="s">
        <v>167</v>
      </c>
      <c r="B50" s="22" cm="1">
        <f t="array" ref="B50">_xlfn.XLOOKUP(B$44,CCO_NumberChildren,_xlfn.XLOOKUP(A50,CCO_Lookup,CCO_Value))</f>
        <v>4.53</v>
      </c>
      <c r="C50" s="24"/>
      <c r="D50" s="5"/>
      <c r="E50" s="5"/>
      <c r="F50" s="5"/>
      <c r="G50" s="5"/>
      <c r="H50" s="5"/>
      <c r="I50" s="5"/>
      <c r="J50" s="5"/>
      <c r="K50" s="5"/>
    </row>
    <row r="51" spans="1:59" x14ac:dyDescent="0.2">
      <c r="A51" t="s">
        <v>168</v>
      </c>
      <c r="B51" s="22" cm="1">
        <f t="array" ref="B51">_xlfn.XLOOKUP(B$44,CCO_NumberChildren,_xlfn.XLOOKUP(A51,CCO_Lookup,CCO_Value))</f>
        <v>3.17</v>
      </c>
      <c r="C51" s="24"/>
      <c r="D51" s="5"/>
      <c r="E51" s="5"/>
      <c r="F51" s="5"/>
      <c r="G51" s="5"/>
      <c r="H51" s="5"/>
      <c r="I51" s="5"/>
      <c r="J51" s="5"/>
      <c r="K51" s="5"/>
    </row>
    <row r="52" spans="1:59" x14ac:dyDescent="0.2">
      <c r="A52" t="s">
        <v>169</v>
      </c>
      <c r="B52" s="22" cm="1">
        <f t="array" ref="B52">_xlfn.XLOOKUP(B$44,CCO_NumberChildren,_xlfn.XLOOKUP(A52,CCO_Lookup,CCO_Value))</f>
        <v>1.77</v>
      </c>
      <c r="C52" s="24"/>
      <c r="D52" s="5"/>
      <c r="E52" s="5"/>
      <c r="F52" s="5"/>
      <c r="G52" s="5"/>
      <c r="H52" s="5"/>
      <c r="I52" s="5"/>
      <c r="J52" s="5"/>
      <c r="K52" s="5"/>
    </row>
    <row r="53" spans="1:59" x14ac:dyDescent="0.2">
      <c r="A53" t="s">
        <v>205</v>
      </c>
      <c r="B53" s="22">
        <v>6</v>
      </c>
      <c r="C53" t="s">
        <v>207</v>
      </c>
      <c r="D53" s="5"/>
      <c r="E53" s="5"/>
      <c r="F53" s="5"/>
      <c r="G53" s="5"/>
      <c r="H53" s="5"/>
      <c r="I53" s="5"/>
      <c r="J53" s="5"/>
      <c r="K53" s="5"/>
    </row>
    <row r="54" spans="1:59" x14ac:dyDescent="0.2">
      <c r="A54" t="s">
        <v>206</v>
      </c>
      <c r="B54" s="22">
        <v>3</v>
      </c>
      <c r="C54" t="s">
        <v>180</v>
      </c>
      <c r="D54" s="5"/>
      <c r="E54" s="5"/>
      <c r="F54" s="5"/>
      <c r="G54" s="5"/>
      <c r="H54" s="5"/>
      <c r="I54" s="5"/>
      <c r="J54" s="5"/>
      <c r="K54" s="5"/>
    </row>
    <row r="55" spans="1:59" x14ac:dyDescent="0.2">
      <c r="B55" s="5"/>
      <c r="C55" s="5"/>
      <c r="D55" s="5"/>
      <c r="E55" s="5"/>
      <c r="F55" s="5"/>
      <c r="G55" s="5"/>
      <c r="H55" s="5"/>
      <c r="I55" s="5"/>
      <c r="J55" s="5"/>
      <c r="K55" s="5"/>
    </row>
    <row r="56" spans="1:59" ht="19" x14ac:dyDescent="0.25">
      <c r="A56" s="21" t="s">
        <v>79</v>
      </c>
      <c r="B56" s="5"/>
      <c r="C56" s="5"/>
      <c r="D56" s="5"/>
      <c r="E56" s="5"/>
      <c r="F56" s="5"/>
      <c r="G56" s="5"/>
      <c r="H56" s="5"/>
      <c r="I56" s="5"/>
      <c r="J56" s="5"/>
      <c r="K56" s="5"/>
    </row>
    <row r="57" spans="1:59" x14ac:dyDescent="0.2">
      <c r="A57" t="s">
        <v>80</v>
      </c>
      <c r="B57" s="20">
        <v>25</v>
      </c>
      <c r="C57" s="19" t="s">
        <v>81</v>
      </c>
      <c r="D57" s="19"/>
      <c r="E57" s="19"/>
      <c r="F57" s="19"/>
      <c r="G57" s="19"/>
      <c r="H57" s="5"/>
      <c r="I57" s="5"/>
      <c r="J57" s="5"/>
      <c r="K57" s="5"/>
    </row>
    <row r="58" spans="1:59" x14ac:dyDescent="0.2">
      <c r="B58" s="20"/>
      <c r="C58" s="19"/>
      <c r="D58" s="19"/>
      <c r="E58" s="19"/>
      <c r="F58" s="19"/>
      <c r="G58" s="19"/>
      <c r="H58" s="5"/>
      <c r="I58" s="5"/>
      <c r="J58" s="5"/>
      <c r="K58" s="5"/>
    </row>
    <row r="59" spans="1:59" x14ac:dyDescent="0.2">
      <c r="A59" s="58" t="s">
        <v>183</v>
      </c>
      <c r="B59" s="59"/>
      <c r="C59" s="59"/>
      <c r="D59" s="59"/>
      <c r="E59" s="59"/>
      <c r="F59" s="59"/>
      <c r="G59" s="59"/>
      <c r="H59" s="59"/>
      <c r="I59" s="59"/>
      <c r="J59" s="59"/>
      <c r="K59" s="59"/>
      <c r="L59" s="59"/>
      <c r="M59" s="59"/>
      <c r="N59" s="59"/>
      <c r="O59" s="59"/>
      <c r="P59" s="59"/>
      <c r="Q59" s="59"/>
      <c r="R59" s="59"/>
      <c r="S59" s="59"/>
      <c r="T59" s="59"/>
      <c r="U59" s="59"/>
      <c r="V59" s="60"/>
      <c r="W59" s="61" t="s">
        <v>83</v>
      </c>
      <c r="X59" s="61"/>
      <c r="Y59" s="61"/>
      <c r="Z59" s="61"/>
      <c r="AA59" s="61"/>
      <c r="AB59" s="65" t="s">
        <v>141</v>
      </c>
      <c r="AC59" s="66"/>
      <c r="AD59" s="66"/>
      <c r="AE59" s="66"/>
      <c r="AF59" s="66"/>
      <c r="AG59" s="67"/>
      <c r="AH59" s="62" t="s">
        <v>3</v>
      </c>
      <c r="AI59" s="63"/>
      <c r="AJ59" s="63"/>
      <c r="AK59" s="64"/>
      <c r="AL59" s="58" t="s">
        <v>322</v>
      </c>
      <c r="AM59" s="59"/>
      <c r="AN59" s="60"/>
      <c r="AO59" s="65" t="s">
        <v>131</v>
      </c>
      <c r="AP59" s="66"/>
      <c r="AQ59" s="66"/>
      <c r="AR59" s="67"/>
      <c r="AS59" s="55" t="s">
        <v>1</v>
      </c>
      <c r="AT59" s="56"/>
      <c r="AU59" s="56"/>
      <c r="AV59" s="56"/>
      <c r="AW59" s="56"/>
      <c r="AX59" s="56"/>
      <c r="AY59" s="56"/>
      <c r="AZ59" s="56"/>
      <c r="BA59" s="56"/>
      <c r="BB59" s="56"/>
      <c r="BC59" s="56"/>
      <c r="BD59" s="57"/>
      <c r="BE59" s="51" t="s">
        <v>178</v>
      </c>
      <c r="BF59" s="51"/>
      <c r="BG59" s="51"/>
    </row>
    <row r="60" spans="1:59" s="6" customFormat="1" ht="85" x14ac:dyDescent="0.2">
      <c r="A60" s="34" t="s">
        <v>82</v>
      </c>
      <c r="B60" s="34" t="s">
        <v>137</v>
      </c>
      <c r="C60" s="34" t="s">
        <v>288</v>
      </c>
      <c r="D60" s="34" t="s">
        <v>291</v>
      </c>
      <c r="E60" s="34" t="s">
        <v>191</v>
      </c>
      <c r="F60" s="34" t="s">
        <v>148</v>
      </c>
      <c r="G60" s="34" t="s">
        <v>188</v>
      </c>
      <c r="H60" s="34" t="s">
        <v>294</v>
      </c>
      <c r="I60" s="34" t="s">
        <v>160</v>
      </c>
      <c r="J60" s="34" t="s">
        <v>184</v>
      </c>
      <c r="K60" s="34" t="s">
        <v>192</v>
      </c>
      <c r="L60" s="34" t="s">
        <v>193</v>
      </c>
      <c r="M60" s="34" t="s">
        <v>141</v>
      </c>
      <c r="N60" s="34" t="s">
        <v>159</v>
      </c>
      <c r="O60" s="34" t="s">
        <v>1</v>
      </c>
      <c r="P60" s="34" t="s">
        <v>185</v>
      </c>
      <c r="Q60" s="34" t="s">
        <v>186</v>
      </c>
      <c r="R60" s="34" t="s">
        <v>301</v>
      </c>
      <c r="S60" s="34" t="s">
        <v>187</v>
      </c>
      <c r="T60" s="34" t="s">
        <v>189</v>
      </c>
      <c r="U60" s="34" t="s">
        <v>190</v>
      </c>
      <c r="V60" s="34" t="s">
        <v>302</v>
      </c>
      <c r="W60" s="35" t="s">
        <v>142</v>
      </c>
      <c r="X60" s="35" t="s">
        <v>138</v>
      </c>
      <c r="Y60" s="35" t="s">
        <v>139</v>
      </c>
      <c r="Z60" s="35" t="s">
        <v>140</v>
      </c>
      <c r="AA60" s="35" t="s">
        <v>143</v>
      </c>
      <c r="AB60" s="36" t="s">
        <v>144</v>
      </c>
      <c r="AC60" s="36" t="s">
        <v>145</v>
      </c>
      <c r="AD60" s="36" t="s">
        <v>146</v>
      </c>
      <c r="AE60" s="36" t="s">
        <v>147</v>
      </c>
      <c r="AF60" s="36" t="s">
        <v>313</v>
      </c>
      <c r="AG60" s="36" t="s">
        <v>315</v>
      </c>
      <c r="AH60" s="37" t="s">
        <v>151</v>
      </c>
      <c r="AI60" s="37" t="s">
        <v>152</v>
      </c>
      <c r="AJ60" s="37" t="s">
        <v>149</v>
      </c>
      <c r="AK60" s="37" t="s">
        <v>153</v>
      </c>
      <c r="AL60" s="34" t="s">
        <v>323</v>
      </c>
      <c r="AM60" s="34" t="s">
        <v>326</v>
      </c>
      <c r="AN60" s="34" t="s">
        <v>329</v>
      </c>
      <c r="AO60" s="36" t="s">
        <v>332</v>
      </c>
      <c r="AP60" s="36" t="s">
        <v>342</v>
      </c>
      <c r="AQ60" s="36" t="s">
        <v>340</v>
      </c>
      <c r="AR60" s="36" t="s">
        <v>341</v>
      </c>
      <c r="AS60" s="38" t="s">
        <v>161</v>
      </c>
      <c r="AT60" s="38" t="s">
        <v>216</v>
      </c>
      <c r="AU60" s="38" t="s">
        <v>217</v>
      </c>
      <c r="AV60" s="38" t="s">
        <v>162</v>
      </c>
      <c r="AW60" s="38" t="s">
        <v>218</v>
      </c>
      <c r="AX60" s="38" t="s">
        <v>219</v>
      </c>
      <c r="AY60" s="38" t="s">
        <v>220</v>
      </c>
      <c r="AZ60" s="38" t="s">
        <v>221</v>
      </c>
      <c r="BA60" s="38" t="s">
        <v>175</v>
      </c>
      <c r="BB60" s="38" t="s">
        <v>176</v>
      </c>
      <c r="BC60" s="38" t="s">
        <v>177</v>
      </c>
      <c r="BD60" s="38" t="s">
        <v>174</v>
      </c>
      <c r="BE60" s="12" t="s">
        <v>181</v>
      </c>
      <c r="BF60" s="12" t="s">
        <v>179</v>
      </c>
      <c r="BG60" s="12" t="s">
        <v>182</v>
      </c>
    </row>
    <row r="61" spans="1:59" s="33" customFormat="1" ht="106" customHeight="1" outlineLevel="1" x14ac:dyDescent="0.2">
      <c r="A61" s="32" t="s">
        <v>224</v>
      </c>
      <c r="B61" s="32" t="s">
        <v>225</v>
      </c>
      <c r="C61" s="32" t="s">
        <v>290</v>
      </c>
      <c r="D61" s="32" t="s">
        <v>292</v>
      </c>
      <c r="E61" s="32" t="s">
        <v>226</v>
      </c>
      <c r="F61" s="32" t="s">
        <v>293</v>
      </c>
      <c r="G61" s="32" t="s">
        <v>227</v>
      </c>
      <c r="H61" s="32" t="s">
        <v>295</v>
      </c>
      <c r="I61" s="32" t="s">
        <v>228</v>
      </c>
      <c r="J61" s="32" t="s">
        <v>229</v>
      </c>
      <c r="K61" s="32" t="s">
        <v>230</v>
      </c>
      <c r="L61" s="32" t="s">
        <v>231</v>
      </c>
      <c r="M61" s="32" t="s">
        <v>248</v>
      </c>
      <c r="N61" s="32" t="s">
        <v>331</v>
      </c>
      <c r="O61" s="32" t="s">
        <v>232</v>
      </c>
      <c r="P61" s="32" t="s">
        <v>233</v>
      </c>
      <c r="Q61" s="32" t="s">
        <v>234</v>
      </c>
      <c r="R61" s="32" t="s">
        <v>235</v>
      </c>
      <c r="S61" s="32" t="s">
        <v>236</v>
      </c>
      <c r="T61" s="32" t="s">
        <v>237</v>
      </c>
      <c r="U61" s="32" t="s">
        <v>238</v>
      </c>
      <c r="V61" s="32" t="s">
        <v>303</v>
      </c>
      <c r="W61" s="32" t="s">
        <v>239</v>
      </c>
      <c r="X61" s="32" t="s">
        <v>240</v>
      </c>
      <c r="Y61" s="32" t="s">
        <v>241</v>
      </c>
      <c r="Z61" s="32" t="s">
        <v>268</v>
      </c>
      <c r="AA61" s="32" t="s">
        <v>242</v>
      </c>
      <c r="AB61" s="32" t="s">
        <v>243</v>
      </c>
      <c r="AC61" s="32" t="s">
        <v>244</v>
      </c>
      <c r="AD61" s="32" t="s">
        <v>245</v>
      </c>
      <c r="AE61" s="32" t="s">
        <v>246</v>
      </c>
      <c r="AF61" s="32" t="s">
        <v>314</v>
      </c>
      <c r="AG61" s="32" t="s">
        <v>316</v>
      </c>
      <c r="AH61" s="32" t="s">
        <v>269</v>
      </c>
      <c r="AI61" s="32" t="s">
        <v>270</v>
      </c>
      <c r="AJ61" s="32" t="s">
        <v>271</v>
      </c>
      <c r="AK61" s="32" t="s">
        <v>272</v>
      </c>
      <c r="AL61" s="32" t="s">
        <v>324</v>
      </c>
      <c r="AM61" s="32" t="s">
        <v>327</v>
      </c>
      <c r="AN61" s="32" t="s">
        <v>330</v>
      </c>
      <c r="AO61" s="32" t="s">
        <v>333</v>
      </c>
      <c r="AP61" s="32" t="s">
        <v>337</v>
      </c>
      <c r="AQ61" s="32" t="s">
        <v>343</v>
      </c>
      <c r="AR61" s="32" t="s">
        <v>344</v>
      </c>
      <c r="AS61" s="32" t="s">
        <v>273</v>
      </c>
      <c r="AT61" s="32" t="s">
        <v>274</v>
      </c>
      <c r="AU61" s="32"/>
      <c r="AV61" s="32" t="s">
        <v>275</v>
      </c>
      <c r="AW61" s="32" t="s">
        <v>276</v>
      </c>
      <c r="AX61" s="32"/>
      <c r="AY61" s="32" t="s">
        <v>277</v>
      </c>
      <c r="AZ61" s="32" t="s">
        <v>279</v>
      </c>
      <c r="BA61" s="32"/>
      <c r="BB61" s="32" t="s">
        <v>280</v>
      </c>
      <c r="BC61" s="32" t="s">
        <v>281</v>
      </c>
      <c r="BD61" s="32" t="s">
        <v>282</v>
      </c>
      <c r="BE61" s="32" t="s">
        <v>283</v>
      </c>
      <c r="BF61" s="32" t="s">
        <v>284</v>
      </c>
      <c r="BG61" s="32" t="s">
        <v>285</v>
      </c>
    </row>
    <row r="62" spans="1:59" x14ac:dyDescent="0.2">
      <c r="A62" s="8">
        <v>0</v>
      </c>
      <c r="B62" s="26">
        <f t="shared" ref="B62:B93" si="0">A62*B$57</f>
        <v>0</v>
      </c>
      <c r="C62" s="26">
        <f>IF(B$15="Couple1",B$11/52,0)</f>
        <v>0</v>
      </c>
      <c r="D62" s="26">
        <f>SUM(B62:C62)</f>
        <v>0</v>
      </c>
      <c r="E62" s="27">
        <f>AA62</f>
        <v>511.65</v>
      </c>
      <c r="F62" s="26">
        <f>D62+E62</f>
        <v>511.65</v>
      </c>
      <c r="G62" s="26">
        <f>F62*52</f>
        <v>26605.8</v>
      </c>
      <c r="H62" s="26">
        <f>IF(G62&gt;B$41,C$41+(G62-B$41)*0.39,IF(G62&gt;B$40,C$40+(G62-B$40)*0.33,IF(G62&gt;B$39,C$39+(G62-B$39)*0.3,IF(G62&gt;B$38,C$38+(G62-B$38)*0.175,G62*0.14))))</f>
        <v>4166.0150000000003</v>
      </c>
      <c r="I62" s="26">
        <f>G62-H62</f>
        <v>22439.785</v>
      </c>
      <c r="J62" s="26">
        <f>I62/52</f>
        <v>431.53432692307695</v>
      </c>
      <c r="K62" s="26">
        <f>J62*(D62/(D62+E62))</f>
        <v>0</v>
      </c>
      <c r="L62" s="26">
        <f>J62*(E62/(D62+E62))</f>
        <v>431.53432692307695</v>
      </c>
      <c r="M62" s="26">
        <f>AG62</f>
        <v>129.06562500000001</v>
      </c>
      <c r="N62" s="27">
        <f>AK62+AN62+AR62</f>
        <v>231.81</v>
      </c>
      <c r="O62" s="27">
        <f>BD62</f>
        <v>0</v>
      </c>
      <c r="P62" s="26">
        <f>J62+M62+N62+O62</f>
        <v>792.40995192307696</v>
      </c>
      <c r="Q62" s="26">
        <f>P62*52</f>
        <v>41205.317500000005</v>
      </c>
      <c r="R62" s="26"/>
      <c r="S62" s="26">
        <f>IF(Q62&lt;D$39,Q62+C$38+(Q62-D$38)*E$38,IF(Q62&lt;D$40,Q62+C$39+(Q62-D$39)*E$39,IF(Q2&lt;D$41,Q62+C$40+(Q62-D$40)*E$40,"NA")))</f>
        <v>49593.310714285719</v>
      </c>
      <c r="T62" s="27">
        <f>BG62</f>
        <v>0</v>
      </c>
      <c r="U62" s="26">
        <f t="shared" ref="U62:U93" si="1">P62-T62</f>
        <v>792.40995192307696</v>
      </c>
      <c r="V62" s="26"/>
      <c r="W62" s="28">
        <f t="shared" ref="W62:W93" si="2">B$21</f>
        <v>511.65</v>
      </c>
      <c r="X62" s="29">
        <f>IF(D62&lt;B$23,0,IF(B$25&lt;1,D62-B$23,IF(D62&gt;B$25,B$25-B$23,D62-B$23)))*B$24</f>
        <v>0</v>
      </c>
      <c r="Y62" s="29">
        <f>IF(B$25&lt;1,0,IF(D62&lt;B$25,0,D62-B$25))*B$26</f>
        <v>0</v>
      </c>
      <c r="Z62" s="29">
        <f>IF((X62+Y62)&gt;W62,W62,X62+Y62)</f>
        <v>0</v>
      </c>
      <c r="AA62" s="28">
        <f>W62-Z62</f>
        <v>511.65</v>
      </c>
      <c r="AB62" s="28">
        <f>W62*0.25</f>
        <v>127.91249999999999</v>
      </c>
      <c r="AC62" s="28">
        <f t="shared" ref="AC62:AC93" si="3">B$9-AB62</f>
        <v>172.08750000000001</v>
      </c>
      <c r="AD62" s="28">
        <f>AC62*0.75</f>
        <v>129.06562500000001</v>
      </c>
      <c r="AE62" s="13">
        <f t="shared" ref="AE62:AE93" si="4">IF(AD62&gt;B$22,B$22,AD62)</f>
        <v>129.06562500000001</v>
      </c>
      <c r="AF62" s="13">
        <f t="shared" ref="AF62:AF93" si="5">IF(F62&lt;B$27,0,F62-B$27)</f>
        <v>0</v>
      </c>
      <c r="AG62" s="13">
        <f>MAX(0,AE62-AF62*0.25)</f>
        <v>129.06562500000001</v>
      </c>
      <c r="AH62" s="28">
        <f t="shared" ref="AH62:AH93" si="6">B$28</f>
        <v>231.81</v>
      </c>
      <c r="AI62" s="13">
        <f t="shared" ref="AI62:AI93" si="7">IF(F62&gt;B$29,F62-B$29,0)</f>
        <v>0</v>
      </c>
      <c r="AJ62" s="28">
        <f t="shared" ref="AJ62:AJ93" si="8">AI62*B$30</f>
        <v>0</v>
      </c>
      <c r="AK62" s="13">
        <f>IF(AJ62&gt;AH62,0,AH62-AJ62)</f>
        <v>231.81</v>
      </c>
      <c r="AL62" s="47">
        <f>A62+B$32</f>
        <v>0</v>
      </c>
      <c r="AM62" s="13" t="str">
        <f>IF(AND(AL62&gt;=B$31,F62&lt;B$33,B$14&gt;0),"Y","N")</f>
        <v>N</v>
      </c>
      <c r="AN62" s="13">
        <f>IF(AM62="Y",B$29-F62,0)</f>
        <v>0</v>
      </c>
      <c r="AO62" s="13" t="str">
        <f>IF(AND(AL62&gt;=B$31,AA62=0,B$14&gt;0),"Y","N")</f>
        <v>N</v>
      </c>
      <c r="AP62" s="13">
        <f>B$34</f>
        <v>72.5</v>
      </c>
      <c r="AQ62" s="13">
        <f>IF(F62&gt;B$36,MAX(0,(F62-B$36)*B$35),0)</f>
        <v>0</v>
      </c>
      <c r="AR62" s="13">
        <f>IF(AO62="Y",MAX(AP62-AQ62,0),0)</f>
        <v>0</v>
      </c>
      <c r="AS62" s="9">
        <f t="shared" ref="AS62:AS93" si="9">B$14</f>
        <v>2</v>
      </c>
      <c r="AT62" s="9">
        <f t="shared" ref="AT62:AT93" si="10">IF(B$15="Couple",0,MIN(A62,50))</f>
        <v>0</v>
      </c>
      <c r="AU62" s="9">
        <f t="shared" ref="AU62:AU93" si="11">B$3</f>
        <v>0</v>
      </c>
      <c r="AV62" s="13">
        <f t="shared" ref="AV62:AV93" si="12">IF(F62&lt;B$45,B$49,IF(F62&lt;B$46,B$50,IF(F62&lt;B$47,B$51,IF(F62&lt;B$48,B$52,0))))</f>
        <v>5.69</v>
      </c>
      <c r="AW62" s="13">
        <f t="shared" ref="AW62:AW93" si="13">AT62*AU62*AV62</f>
        <v>0</v>
      </c>
      <c r="AX62" s="9">
        <f t="shared" ref="AX62:AX93" si="14">B$4</f>
        <v>1</v>
      </c>
      <c r="AY62" s="9">
        <f t="shared" ref="AY62:AY93" si="15">IF(B$15="Couple",0,IF(A62&lt;20,0,IF((A62-25)&gt;25,25,A62-20)))</f>
        <v>0</v>
      </c>
      <c r="AZ62" s="28">
        <f>AX62*AY62*AV62</f>
        <v>0</v>
      </c>
      <c r="BA62" s="9">
        <f t="shared" ref="BA62:BA93" si="16">B$5</f>
        <v>1</v>
      </c>
      <c r="BB62" s="9">
        <f t="shared" ref="BB62:BB93" si="17">IF(B$15="Couple",0,IF(A62&lt;25,0,IF((A62-25)&gt;20,20,A62-25)))</f>
        <v>0</v>
      </c>
      <c r="BC62" s="28">
        <f>AV62*BA62*BB62</f>
        <v>0</v>
      </c>
      <c r="BD62" s="28">
        <f>BC62+AZ62+AW62</f>
        <v>0</v>
      </c>
      <c r="BE62" s="13">
        <f t="shared" ref="BE62:BE93" si="18">B$54*A62</f>
        <v>0</v>
      </c>
      <c r="BF62" s="13">
        <f t="shared" ref="BF62:BF93" si="19">B$53*(BB62*BA62+AX62*AY62+AU62*AT62)</f>
        <v>0</v>
      </c>
      <c r="BG62" s="28">
        <f>BE62+BF62</f>
        <v>0</v>
      </c>
    </row>
    <row r="63" spans="1:59" x14ac:dyDescent="0.2">
      <c r="A63" s="8">
        <f>A62+1</f>
        <v>1</v>
      </c>
      <c r="B63" s="26">
        <f t="shared" si="0"/>
        <v>25</v>
      </c>
      <c r="C63" s="26">
        <f t="shared" ref="C63:C122" si="20">IF(B$15="Couple1",B$11/52,0)</f>
        <v>0</v>
      </c>
      <c r="D63" s="26">
        <f t="shared" ref="D63:D122" si="21">SUM(B63:C63)</f>
        <v>25</v>
      </c>
      <c r="E63" s="27">
        <f t="shared" ref="E63:E122" si="22">AA63</f>
        <v>511.65</v>
      </c>
      <c r="F63" s="26">
        <f t="shared" ref="F63:F122" si="23">D63+E63</f>
        <v>536.65</v>
      </c>
      <c r="G63" s="26">
        <f t="shared" ref="G63:G122" si="24">F63*52</f>
        <v>27905.8</v>
      </c>
      <c r="H63" s="26">
        <f t="shared" ref="H63:H122" si="25">IF(G63&gt;B$41,C$41+(G63-B$41)*0.39,IF(G63&gt;B$40,C$40+(G63-B$40)*0.33,IF(G63&gt;B$39,C$39+(G63-B$39)*0.3,IF(G63&gt;B$38,C$38+(G63-B$38)*0.175,G63*0.14))))</f>
        <v>4393.5150000000003</v>
      </c>
      <c r="I63" s="26">
        <f t="shared" ref="I63:I122" si="26">G63-H63</f>
        <v>23512.285</v>
      </c>
      <c r="J63" s="26">
        <f t="shared" ref="J63:J122" si="27">I63/52</f>
        <v>452.15932692307695</v>
      </c>
      <c r="K63" s="26">
        <f t="shared" ref="K63:K122" si="28">J63*(D63/(D63+E63))</f>
        <v>21.063976843523569</v>
      </c>
      <c r="L63" s="26">
        <f t="shared" ref="L63:L122" si="29">J63*(E63/(D63+E63))</f>
        <v>431.09535007955338</v>
      </c>
      <c r="M63" s="26">
        <f t="shared" ref="M63:M122" si="30">AG63</f>
        <v>129.06562500000001</v>
      </c>
      <c r="N63" s="27">
        <f t="shared" ref="N63:N122" si="31">AK63+AN63+AR63</f>
        <v>231.81</v>
      </c>
      <c r="O63" s="27">
        <f t="shared" ref="O63:O122" si="32">BD63</f>
        <v>0</v>
      </c>
      <c r="P63" s="26">
        <f t="shared" ref="P63:P122" si="33">J63+M63+N63+O63</f>
        <v>813.03495192307696</v>
      </c>
      <c r="Q63" s="26">
        <f t="shared" ref="Q63:Q122" si="34">P63*52</f>
        <v>42277.817500000005</v>
      </c>
      <c r="R63" s="16">
        <f t="shared" ref="R63:R94" si="35">1-(P63-P62)/(B63-B62)</f>
        <v>0.17500000000000004</v>
      </c>
      <c r="S63" s="26">
        <f t="shared" ref="S63:S122" si="36">IF(Q63&lt;D$39,Q63+C$38+(Q63-D$38)*E$38,IF(Q63&lt;D$40,Q63+C$39+(Q63-D$39)*E$39,IF(Q3&lt;D$41,Q63+C$40+(Q63-D$40)*E$40,"NA")))</f>
        <v>51125.453571428581</v>
      </c>
      <c r="T63" s="27">
        <f t="shared" ref="T63:T122" si="37">BG63</f>
        <v>3</v>
      </c>
      <c r="U63" s="26">
        <f t="shared" si="1"/>
        <v>810.03495192307696</v>
      </c>
      <c r="V63" s="16">
        <f>1-(U63-U62)/(B63-B62)</f>
        <v>0.29500000000000004</v>
      </c>
      <c r="W63" s="28">
        <f t="shared" si="2"/>
        <v>511.65</v>
      </c>
      <c r="X63" s="29">
        <f t="shared" ref="X63:X122" si="38">IF(D63&lt;B$23,0,IF(B$25&lt;1,D63-B$23,IF(D63&gt;B$25,B$25-B$23,D63-B$23)))*B$24</f>
        <v>0</v>
      </c>
      <c r="Y63" s="29">
        <f t="shared" ref="Y63:Y122" si="39">IF(B$25&lt;1,0,IF(D63&lt;B$25,0,D63-B$25))*B$26</f>
        <v>0</v>
      </c>
      <c r="Z63" s="29">
        <f t="shared" ref="Z63:Z117" si="40">IF((X63+Y63)&gt;W63,W63,X63+Y63)</f>
        <v>0</v>
      </c>
      <c r="AA63" s="28">
        <f t="shared" ref="AA63:AA117" si="41">W63-Z63</f>
        <v>511.65</v>
      </c>
      <c r="AB63" s="28">
        <f t="shared" ref="AB63:AB117" si="42">W63*0.25</f>
        <v>127.91249999999999</v>
      </c>
      <c r="AC63" s="28">
        <f t="shared" si="3"/>
        <v>172.08750000000001</v>
      </c>
      <c r="AD63" s="28">
        <f t="shared" ref="AD63:AD122" si="43">AC63*0.75</f>
        <v>129.06562500000001</v>
      </c>
      <c r="AE63" s="13">
        <f t="shared" si="4"/>
        <v>129.06562500000001</v>
      </c>
      <c r="AF63" s="13">
        <f t="shared" si="5"/>
        <v>0</v>
      </c>
      <c r="AG63" s="13">
        <f t="shared" ref="AG63:AG122" si="44">MAX(0,AE63-AF63*0.25)</f>
        <v>129.06562500000001</v>
      </c>
      <c r="AH63" s="28">
        <f t="shared" si="6"/>
        <v>231.81</v>
      </c>
      <c r="AI63" s="13">
        <f t="shared" si="7"/>
        <v>0</v>
      </c>
      <c r="AJ63" s="28">
        <f t="shared" si="8"/>
        <v>0</v>
      </c>
      <c r="AK63" s="13">
        <f t="shared" ref="AK63:AK122" si="45">IF(AJ63&gt;AH63,0,AH63-AJ63)</f>
        <v>231.81</v>
      </c>
      <c r="AL63" s="47">
        <f t="shared" ref="AL63:AL122" si="46">A63+B$32</f>
        <v>1</v>
      </c>
      <c r="AM63" s="13" t="str">
        <f t="shared" ref="AM63:AM122" si="47">IF(AND(AL63&gt;=B$31,F63&lt;B$33,B$14&gt;0),"Y","N")</f>
        <v>N</v>
      </c>
      <c r="AN63" s="13">
        <f t="shared" ref="AN63:AN122" si="48">IF(AM63="Y",B$29-F63,0)</f>
        <v>0</v>
      </c>
      <c r="AO63" s="13" t="str">
        <f t="shared" ref="AO63:AO122" si="49">IF(AND(AL63&gt;=B$31,AA63=0,B$14&gt;0),"Y","N")</f>
        <v>N</v>
      </c>
      <c r="AP63" s="13">
        <f t="shared" ref="AP63:AP122" si="50">B$34</f>
        <v>72.5</v>
      </c>
      <c r="AQ63" s="13">
        <f t="shared" ref="AQ63:AQ122" si="51">IF(F63&gt;B$36,MAX(0,(F63-B$36)*B$35),0)</f>
        <v>0</v>
      </c>
      <c r="AR63" s="13">
        <f t="shared" ref="AR63:AR122" si="52">IF(AO63="Y",MAX(AP63-AQ63,0),0)</f>
        <v>0</v>
      </c>
      <c r="AS63" s="9">
        <f t="shared" si="9"/>
        <v>2</v>
      </c>
      <c r="AT63" s="9">
        <f t="shared" si="10"/>
        <v>1</v>
      </c>
      <c r="AU63" s="9">
        <f t="shared" si="11"/>
        <v>0</v>
      </c>
      <c r="AV63" s="13">
        <f t="shared" si="12"/>
        <v>5.69</v>
      </c>
      <c r="AW63" s="13">
        <f t="shared" si="13"/>
        <v>0</v>
      </c>
      <c r="AX63" s="9">
        <f t="shared" si="14"/>
        <v>1</v>
      </c>
      <c r="AY63" s="9">
        <f t="shared" si="15"/>
        <v>0</v>
      </c>
      <c r="AZ63" s="28">
        <f t="shared" ref="AZ63:AZ122" si="53">AX63*AY63*AV63</f>
        <v>0</v>
      </c>
      <c r="BA63" s="9">
        <f t="shared" si="16"/>
        <v>1</v>
      </c>
      <c r="BB63" s="9">
        <f t="shared" si="17"/>
        <v>0</v>
      </c>
      <c r="BC63" s="28">
        <f t="shared" ref="BC63:BC122" si="54">AV63*BA63*BB63</f>
        <v>0</v>
      </c>
      <c r="BD63" s="28">
        <f t="shared" ref="BD63:BD122" si="55">BC63+AZ63+AW63</f>
        <v>0</v>
      </c>
      <c r="BE63" s="13">
        <f t="shared" si="18"/>
        <v>3</v>
      </c>
      <c r="BF63" s="13">
        <f t="shared" si="19"/>
        <v>0</v>
      </c>
      <c r="BG63" s="28">
        <f t="shared" ref="BG63:BG122" si="56">BE63+BF63</f>
        <v>3</v>
      </c>
    </row>
    <row r="64" spans="1:59" x14ac:dyDescent="0.2">
      <c r="A64" s="8">
        <f t="shared" ref="A64:A117" si="57">A63+1</f>
        <v>2</v>
      </c>
      <c r="B64" s="26">
        <f t="shared" si="0"/>
        <v>50</v>
      </c>
      <c r="C64" s="26">
        <f t="shared" si="20"/>
        <v>0</v>
      </c>
      <c r="D64" s="26">
        <f t="shared" si="21"/>
        <v>50</v>
      </c>
      <c r="E64" s="27">
        <f t="shared" si="22"/>
        <v>511.65</v>
      </c>
      <c r="F64" s="26">
        <f t="shared" si="23"/>
        <v>561.65</v>
      </c>
      <c r="G64" s="26">
        <f t="shared" si="24"/>
        <v>29205.8</v>
      </c>
      <c r="H64" s="26">
        <f t="shared" si="25"/>
        <v>4621.0150000000003</v>
      </c>
      <c r="I64" s="26">
        <f t="shared" si="26"/>
        <v>24584.785</v>
      </c>
      <c r="J64" s="26">
        <f t="shared" si="27"/>
        <v>472.78432692307695</v>
      </c>
      <c r="K64" s="26">
        <f t="shared" si="28"/>
        <v>42.088874470139494</v>
      </c>
      <c r="L64" s="26">
        <f t="shared" si="29"/>
        <v>430.69545245293745</v>
      </c>
      <c r="M64" s="26">
        <f t="shared" si="30"/>
        <v>129.06562500000001</v>
      </c>
      <c r="N64" s="27">
        <f t="shared" si="31"/>
        <v>231.81</v>
      </c>
      <c r="O64" s="27">
        <f t="shared" si="32"/>
        <v>0</v>
      </c>
      <c r="P64" s="26">
        <f t="shared" si="33"/>
        <v>833.65995192307696</v>
      </c>
      <c r="Q64" s="26">
        <f t="shared" si="34"/>
        <v>43350.317500000005</v>
      </c>
      <c r="R64" s="16">
        <f t="shared" si="35"/>
        <v>0.17500000000000004</v>
      </c>
      <c r="S64" s="26">
        <f t="shared" si="36"/>
        <v>52657.596428571436</v>
      </c>
      <c r="T64" s="27">
        <f t="shared" si="37"/>
        <v>6</v>
      </c>
      <c r="U64" s="26">
        <f t="shared" si="1"/>
        <v>827.65995192307696</v>
      </c>
      <c r="V64" s="16">
        <f t="shared" ref="V64:V122" si="58">1-(U64-U63)/(B64-B63)</f>
        <v>0.29500000000000004</v>
      </c>
      <c r="W64" s="28">
        <f t="shared" si="2"/>
        <v>511.65</v>
      </c>
      <c r="X64" s="29">
        <f t="shared" si="38"/>
        <v>0</v>
      </c>
      <c r="Y64" s="29">
        <f t="shared" si="39"/>
        <v>0</v>
      </c>
      <c r="Z64" s="29">
        <f t="shared" si="40"/>
        <v>0</v>
      </c>
      <c r="AA64" s="28">
        <f t="shared" si="41"/>
        <v>511.65</v>
      </c>
      <c r="AB64" s="28">
        <f t="shared" si="42"/>
        <v>127.91249999999999</v>
      </c>
      <c r="AC64" s="28">
        <f t="shared" si="3"/>
        <v>172.08750000000001</v>
      </c>
      <c r="AD64" s="28">
        <f t="shared" si="43"/>
        <v>129.06562500000001</v>
      </c>
      <c r="AE64" s="13">
        <f t="shared" si="4"/>
        <v>129.06562500000001</v>
      </c>
      <c r="AF64" s="13">
        <f t="shared" si="5"/>
        <v>0</v>
      </c>
      <c r="AG64" s="13">
        <f t="shared" si="44"/>
        <v>129.06562500000001</v>
      </c>
      <c r="AH64" s="28">
        <f t="shared" si="6"/>
        <v>231.81</v>
      </c>
      <c r="AI64" s="13">
        <f t="shared" si="7"/>
        <v>0</v>
      </c>
      <c r="AJ64" s="28">
        <f t="shared" si="8"/>
        <v>0</v>
      </c>
      <c r="AK64" s="13">
        <f t="shared" si="45"/>
        <v>231.81</v>
      </c>
      <c r="AL64" s="47">
        <f t="shared" si="46"/>
        <v>2</v>
      </c>
      <c r="AM64" s="13" t="str">
        <f t="shared" si="47"/>
        <v>N</v>
      </c>
      <c r="AN64" s="13">
        <f t="shared" si="48"/>
        <v>0</v>
      </c>
      <c r="AO64" s="13" t="str">
        <f t="shared" si="49"/>
        <v>N</v>
      </c>
      <c r="AP64" s="13">
        <f t="shared" si="50"/>
        <v>72.5</v>
      </c>
      <c r="AQ64" s="13">
        <f t="shared" si="51"/>
        <v>0</v>
      </c>
      <c r="AR64" s="13">
        <f t="shared" si="52"/>
        <v>0</v>
      </c>
      <c r="AS64" s="9">
        <f t="shared" si="9"/>
        <v>2</v>
      </c>
      <c r="AT64" s="9">
        <f t="shared" si="10"/>
        <v>2</v>
      </c>
      <c r="AU64" s="9">
        <f t="shared" si="11"/>
        <v>0</v>
      </c>
      <c r="AV64" s="13">
        <f t="shared" si="12"/>
        <v>5.69</v>
      </c>
      <c r="AW64" s="13">
        <f t="shared" si="13"/>
        <v>0</v>
      </c>
      <c r="AX64" s="9">
        <f t="shared" si="14"/>
        <v>1</v>
      </c>
      <c r="AY64" s="9">
        <f t="shared" si="15"/>
        <v>0</v>
      </c>
      <c r="AZ64" s="28">
        <f t="shared" si="53"/>
        <v>0</v>
      </c>
      <c r="BA64" s="9">
        <f t="shared" si="16"/>
        <v>1</v>
      </c>
      <c r="BB64" s="9">
        <f t="shared" si="17"/>
        <v>0</v>
      </c>
      <c r="BC64" s="28">
        <f t="shared" si="54"/>
        <v>0</v>
      </c>
      <c r="BD64" s="28">
        <f t="shared" si="55"/>
        <v>0</v>
      </c>
      <c r="BE64" s="13">
        <f t="shared" si="18"/>
        <v>6</v>
      </c>
      <c r="BF64" s="13">
        <f t="shared" si="19"/>
        <v>0</v>
      </c>
      <c r="BG64" s="28">
        <f t="shared" si="56"/>
        <v>6</v>
      </c>
    </row>
    <row r="65" spans="1:59" x14ac:dyDescent="0.2">
      <c r="A65" s="8">
        <f t="shared" si="57"/>
        <v>3</v>
      </c>
      <c r="B65" s="26">
        <f t="shared" si="0"/>
        <v>75</v>
      </c>
      <c r="C65" s="26">
        <f t="shared" si="20"/>
        <v>0</v>
      </c>
      <c r="D65" s="26">
        <f t="shared" si="21"/>
        <v>75</v>
      </c>
      <c r="E65" s="27">
        <f t="shared" si="22"/>
        <v>511.65</v>
      </c>
      <c r="F65" s="26">
        <f t="shared" si="23"/>
        <v>586.65</v>
      </c>
      <c r="G65" s="26">
        <f t="shared" si="24"/>
        <v>30505.8</v>
      </c>
      <c r="H65" s="26">
        <f t="shared" si="25"/>
        <v>4848.5150000000003</v>
      </c>
      <c r="I65" s="26">
        <f t="shared" si="26"/>
        <v>25657.285</v>
      </c>
      <c r="J65" s="26">
        <f t="shared" si="27"/>
        <v>493.40932692307695</v>
      </c>
      <c r="K65" s="26">
        <f t="shared" si="28"/>
        <v>63.079688944397461</v>
      </c>
      <c r="L65" s="26">
        <f t="shared" si="29"/>
        <v>430.32963797867944</v>
      </c>
      <c r="M65" s="26">
        <f t="shared" si="30"/>
        <v>129.06562500000001</v>
      </c>
      <c r="N65" s="27">
        <f t="shared" si="31"/>
        <v>231.81</v>
      </c>
      <c r="O65" s="27">
        <f t="shared" si="32"/>
        <v>0</v>
      </c>
      <c r="P65" s="26">
        <f t="shared" si="33"/>
        <v>854.28495192307696</v>
      </c>
      <c r="Q65" s="26">
        <f t="shared" si="34"/>
        <v>44422.817500000005</v>
      </c>
      <c r="R65" s="16">
        <f t="shared" si="35"/>
        <v>0.17500000000000004</v>
      </c>
      <c r="S65" s="26">
        <f t="shared" si="36"/>
        <v>54189.739285714291</v>
      </c>
      <c r="T65" s="27">
        <f t="shared" si="37"/>
        <v>9</v>
      </c>
      <c r="U65" s="26">
        <f t="shared" si="1"/>
        <v>845.28495192307696</v>
      </c>
      <c r="V65" s="16">
        <f t="shared" si="58"/>
        <v>0.29500000000000004</v>
      </c>
      <c r="W65" s="28">
        <f t="shared" si="2"/>
        <v>511.65</v>
      </c>
      <c r="X65" s="29">
        <f t="shared" si="38"/>
        <v>0</v>
      </c>
      <c r="Y65" s="29">
        <f t="shared" si="39"/>
        <v>0</v>
      </c>
      <c r="Z65" s="29">
        <f t="shared" si="40"/>
        <v>0</v>
      </c>
      <c r="AA65" s="28">
        <f t="shared" si="41"/>
        <v>511.65</v>
      </c>
      <c r="AB65" s="28">
        <f t="shared" si="42"/>
        <v>127.91249999999999</v>
      </c>
      <c r="AC65" s="28">
        <f t="shared" si="3"/>
        <v>172.08750000000001</v>
      </c>
      <c r="AD65" s="28">
        <f t="shared" si="43"/>
        <v>129.06562500000001</v>
      </c>
      <c r="AE65" s="13">
        <f t="shared" si="4"/>
        <v>129.06562500000001</v>
      </c>
      <c r="AF65" s="13">
        <f t="shared" si="5"/>
        <v>0</v>
      </c>
      <c r="AG65" s="13">
        <f t="shared" si="44"/>
        <v>129.06562500000001</v>
      </c>
      <c r="AH65" s="28">
        <f t="shared" si="6"/>
        <v>231.81</v>
      </c>
      <c r="AI65" s="13">
        <f t="shared" si="7"/>
        <v>0</v>
      </c>
      <c r="AJ65" s="28">
        <f t="shared" si="8"/>
        <v>0</v>
      </c>
      <c r="AK65" s="13">
        <f t="shared" si="45"/>
        <v>231.81</v>
      </c>
      <c r="AL65" s="47">
        <f t="shared" si="46"/>
        <v>3</v>
      </c>
      <c r="AM65" s="13" t="str">
        <f t="shared" si="47"/>
        <v>N</v>
      </c>
      <c r="AN65" s="13">
        <f t="shared" si="48"/>
        <v>0</v>
      </c>
      <c r="AO65" s="13" t="str">
        <f t="shared" si="49"/>
        <v>N</v>
      </c>
      <c r="AP65" s="13">
        <f t="shared" si="50"/>
        <v>72.5</v>
      </c>
      <c r="AQ65" s="13">
        <f t="shared" si="51"/>
        <v>0</v>
      </c>
      <c r="AR65" s="13">
        <f t="shared" si="52"/>
        <v>0</v>
      </c>
      <c r="AS65" s="9">
        <f t="shared" si="9"/>
        <v>2</v>
      </c>
      <c r="AT65" s="9">
        <f t="shared" si="10"/>
        <v>3</v>
      </c>
      <c r="AU65" s="9">
        <f t="shared" si="11"/>
        <v>0</v>
      </c>
      <c r="AV65" s="13">
        <f t="shared" si="12"/>
        <v>5.69</v>
      </c>
      <c r="AW65" s="13">
        <f t="shared" si="13"/>
        <v>0</v>
      </c>
      <c r="AX65" s="9">
        <f t="shared" si="14"/>
        <v>1</v>
      </c>
      <c r="AY65" s="9">
        <f t="shared" si="15"/>
        <v>0</v>
      </c>
      <c r="AZ65" s="28">
        <f t="shared" si="53"/>
        <v>0</v>
      </c>
      <c r="BA65" s="9">
        <f t="shared" si="16"/>
        <v>1</v>
      </c>
      <c r="BB65" s="9">
        <f t="shared" si="17"/>
        <v>0</v>
      </c>
      <c r="BC65" s="28">
        <f t="shared" si="54"/>
        <v>0</v>
      </c>
      <c r="BD65" s="28">
        <f t="shared" si="55"/>
        <v>0</v>
      </c>
      <c r="BE65" s="13">
        <f t="shared" si="18"/>
        <v>9</v>
      </c>
      <c r="BF65" s="13">
        <f t="shared" si="19"/>
        <v>0</v>
      </c>
      <c r="BG65" s="28">
        <f t="shared" si="56"/>
        <v>9</v>
      </c>
    </row>
    <row r="66" spans="1:59" x14ac:dyDescent="0.2">
      <c r="A66" s="8">
        <f t="shared" si="57"/>
        <v>4</v>
      </c>
      <c r="B66" s="26">
        <f t="shared" si="0"/>
        <v>100</v>
      </c>
      <c r="C66" s="26">
        <f t="shared" si="20"/>
        <v>0</v>
      </c>
      <c r="D66" s="26">
        <f t="shared" si="21"/>
        <v>100</v>
      </c>
      <c r="E66" s="27">
        <f t="shared" si="22"/>
        <v>511.65</v>
      </c>
      <c r="F66" s="26">
        <f t="shared" si="23"/>
        <v>611.65</v>
      </c>
      <c r="G66" s="26">
        <f t="shared" si="24"/>
        <v>31805.8</v>
      </c>
      <c r="H66" s="26">
        <f t="shared" si="25"/>
        <v>5076.0150000000003</v>
      </c>
      <c r="I66" s="26">
        <f t="shared" si="26"/>
        <v>26729.785</v>
      </c>
      <c r="J66" s="26">
        <f t="shared" si="27"/>
        <v>514.03432692307695</v>
      </c>
      <c r="K66" s="26">
        <f t="shared" si="28"/>
        <v>84.040599513296328</v>
      </c>
      <c r="L66" s="26">
        <f t="shared" si="29"/>
        <v>429.9937274097806</v>
      </c>
      <c r="M66" s="26">
        <f t="shared" si="30"/>
        <v>129.06562500000001</v>
      </c>
      <c r="N66" s="27">
        <f t="shared" si="31"/>
        <v>231.81</v>
      </c>
      <c r="O66" s="27">
        <f t="shared" si="32"/>
        <v>0</v>
      </c>
      <c r="P66" s="26">
        <f t="shared" si="33"/>
        <v>874.90995192307696</v>
      </c>
      <c r="Q66" s="26">
        <f t="shared" si="34"/>
        <v>45495.317500000005</v>
      </c>
      <c r="R66" s="16">
        <f t="shared" si="35"/>
        <v>0.17500000000000004</v>
      </c>
      <c r="S66" s="26">
        <f t="shared" si="36"/>
        <v>55721.882142857146</v>
      </c>
      <c r="T66" s="27">
        <f t="shared" si="37"/>
        <v>12</v>
      </c>
      <c r="U66" s="26">
        <f t="shared" si="1"/>
        <v>862.90995192307696</v>
      </c>
      <c r="V66" s="16">
        <f t="shared" si="58"/>
        <v>0.29500000000000004</v>
      </c>
      <c r="W66" s="28">
        <f t="shared" si="2"/>
        <v>511.65</v>
      </c>
      <c r="X66" s="29">
        <f t="shared" si="38"/>
        <v>0</v>
      </c>
      <c r="Y66" s="29">
        <f t="shared" si="39"/>
        <v>0</v>
      </c>
      <c r="Z66" s="29">
        <f t="shared" si="40"/>
        <v>0</v>
      </c>
      <c r="AA66" s="28">
        <f t="shared" si="41"/>
        <v>511.65</v>
      </c>
      <c r="AB66" s="28">
        <f t="shared" si="42"/>
        <v>127.91249999999999</v>
      </c>
      <c r="AC66" s="28">
        <f t="shared" si="3"/>
        <v>172.08750000000001</v>
      </c>
      <c r="AD66" s="28">
        <f t="shared" si="43"/>
        <v>129.06562500000001</v>
      </c>
      <c r="AE66" s="13">
        <f t="shared" si="4"/>
        <v>129.06562500000001</v>
      </c>
      <c r="AF66" s="13">
        <f t="shared" si="5"/>
        <v>0</v>
      </c>
      <c r="AG66" s="13">
        <f t="shared" si="44"/>
        <v>129.06562500000001</v>
      </c>
      <c r="AH66" s="28">
        <f t="shared" si="6"/>
        <v>231.81</v>
      </c>
      <c r="AI66" s="13">
        <f t="shared" si="7"/>
        <v>0</v>
      </c>
      <c r="AJ66" s="28">
        <f t="shared" si="8"/>
        <v>0</v>
      </c>
      <c r="AK66" s="13">
        <f t="shared" si="45"/>
        <v>231.81</v>
      </c>
      <c r="AL66" s="47">
        <f t="shared" si="46"/>
        <v>4</v>
      </c>
      <c r="AM66" s="13" t="str">
        <f t="shared" si="47"/>
        <v>N</v>
      </c>
      <c r="AN66" s="13">
        <f t="shared" si="48"/>
        <v>0</v>
      </c>
      <c r="AO66" s="13" t="str">
        <f t="shared" si="49"/>
        <v>N</v>
      </c>
      <c r="AP66" s="13">
        <f t="shared" si="50"/>
        <v>72.5</v>
      </c>
      <c r="AQ66" s="13">
        <f t="shared" si="51"/>
        <v>0</v>
      </c>
      <c r="AR66" s="13">
        <f t="shared" si="52"/>
        <v>0</v>
      </c>
      <c r="AS66" s="9">
        <f t="shared" si="9"/>
        <v>2</v>
      </c>
      <c r="AT66" s="9">
        <f t="shared" si="10"/>
        <v>4</v>
      </c>
      <c r="AU66" s="9">
        <f t="shared" si="11"/>
        <v>0</v>
      </c>
      <c r="AV66" s="13">
        <f t="shared" si="12"/>
        <v>5.69</v>
      </c>
      <c r="AW66" s="13">
        <f t="shared" si="13"/>
        <v>0</v>
      </c>
      <c r="AX66" s="9">
        <f t="shared" si="14"/>
        <v>1</v>
      </c>
      <c r="AY66" s="9">
        <f t="shared" si="15"/>
        <v>0</v>
      </c>
      <c r="AZ66" s="28">
        <f t="shared" si="53"/>
        <v>0</v>
      </c>
      <c r="BA66" s="9">
        <f t="shared" si="16"/>
        <v>1</v>
      </c>
      <c r="BB66" s="9">
        <f t="shared" si="17"/>
        <v>0</v>
      </c>
      <c r="BC66" s="28">
        <f t="shared" si="54"/>
        <v>0</v>
      </c>
      <c r="BD66" s="28">
        <f t="shared" si="55"/>
        <v>0</v>
      </c>
      <c r="BE66" s="13">
        <f t="shared" si="18"/>
        <v>12</v>
      </c>
      <c r="BF66" s="13">
        <f t="shared" si="19"/>
        <v>0</v>
      </c>
      <c r="BG66" s="28">
        <f t="shared" si="56"/>
        <v>12</v>
      </c>
    </row>
    <row r="67" spans="1:59" x14ac:dyDescent="0.2">
      <c r="A67" s="8">
        <f t="shared" si="57"/>
        <v>5</v>
      </c>
      <c r="B67" s="26">
        <f t="shared" si="0"/>
        <v>125</v>
      </c>
      <c r="C67" s="26">
        <f t="shared" si="20"/>
        <v>0</v>
      </c>
      <c r="D67" s="26">
        <f t="shared" si="21"/>
        <v>125</v>
      </c>
      <c r="E67" s="27">
        <f t="shared" si="22"/>
        <v>511.65</v>
      </c>
      <c r="F67" s="26">
        <f t="shared" si="23"/>
        <v>636.65</v>
      </c>
      <c r="G67" s="26">
        <f t="shared" si="24"/>
        <v>33105.799999999996</v>
      </c>
      <c r="H67" s="26">
        <f t="shared" si="25"/>
        <v>5303.5149999999994</v>
      </c>
      <c r="I67" s="26">
        <f t="shared" si="26"/>
        <v>27802.284999999996</v>
      </c>
      <c r="J67" s="26">
        <f t="shared" si="27"/>
        <v>534.65932692307683</v>
      </c>
      <c r="K67" s="26">
        <f t="shared" si="28"/>
        <v>104.97512898042034</v>
      </c>
      <c r="L67" s="26">
        <f t="shared" si="29"/>
        <v>429.68419794265651</v>
      </c>
      <c r="M67" s="26">
        <f t="shared" si="30"/>
        <v>129.06562500000001</v>
      </c>
      <c r="N67" s="27">
        <f t="shared" si="31"/>
        <v>230.55450000000002</v>
      </c>
      <c r="O67" s="27">
        <f t="shared" si="32"/>
        <v>0</v>
      </c>
      <c r="P67" s="26">
        <f t="shared" si="33"/>
        <v>894.27945192307675</v>
      </c>
      <c r="Q67" s="26">
        <f t="shared" si="34"/>
        <v>46502.53149999999</v>
      </c>
      <c r="R67" s="16">
        <f t="shared" si="35"/>
        <v>0.22522000000000841</v>
      </c>
      <c r="S67" s="26">
        <f t="shared" si="36"/>
        <v>57160.759285714274</v>
      </c>
      <c r="T67" s="27">
        <f t="shared" si="37"/>
        <v>15</v>
      </c>
      <c r="U67" s="26">
        <f t="shared" si="1"/>
        <v>879.27945192307675</v>
      </c>
      <c r="V67" s="16">
        <f t="shared" si="58"/>
        <v>0.34522000000000841</v>
      </c>
      <c r="W67" s="28">
        <f t="shared" si="2"/>
        <v>511.65</v>
      </c>
      <c r="X67" s="29">
        <f t="shared" si="38"/>
        <v>0</v>
      </c>
      <c r="Y67" s="29">
        <f t="shared" si="39"/>
        <v>0</v>
      </c>
      <c r="Z67" s="29">
        <f t="shared" si="40"/>
        <v>0</v>
      </c>
      <c r="AA67" s="28">
        <f t="shared" si="41"/>
        <v>511.65</v>
      </c>
      <c r="AB67" s="28">
        <f t="shared" si="42"/>
        <v>127.91249999999999</v>
      </c>
      <c r="AC67" s="28">
        <f t="shared" si="3"/>
        <v>172.08750000000001</v>
      </c>
      <c r="AD67" s="28">
        <f t="shared" si="43"/>
        <v>129.06562500000001</v>
      </c>
      <c r="AE67" s="13">
        <f t="shared" si="4"/>
        <v>129.06562500000001</v>
      </c>
      <c r="AF67" s="13">
        <f t="shared" si="5"/>
        <v>0</v>
      </c>
      <c r="AG67" s="13">
        <f t="shared" si="44"/>
        <v>129.06562500000001</v>
      </c>
      <c r="AH67" s="28">
        <f t="shared" si="6"/>
        <v>231.81</v>
      </c>
      <c r="AI67" s="13">
        <f t="shared" si="7"/>
        <v>4.6499999999999773</v>
      </c>
      <c r="AJ67" s="28">
        <f t="shared" si="8"/>
        <v>1.2554999999999938</v>
      </c>
      <c r="AK67" s="13">
        <f t="shared" si="45"/>
        <v>230.55450000000002</v>
      </c>
      <c r="AL67" s="47">
        <f t="shared" si="46"/>
        <v>5</v>
      </c>
      <c r="AM67" s="13" t="str">
        <f t="shared" si="47"/>
        <v>N</v>
      </c>
      <c r="AN67" s="13">
        <f t="shared" si="48"/>
        <v>0</v>
      </c>
      <c r="AO67" s="13" t="str">
        <f t="shared" si="49"/>
        <v>N</v>
      </c>
      <c r="AP67" s="13">
        <f t="shared" si="50"/>
        <v>72.5</v>
      </c>
      <c r="AQ67" s="13">
        <f t="shared" si="51"/>
        <v>0</v>
      </c>
      <c r="AR67" s="13">
        <f t="shared" si="52"/>
        <v>0</v>
      </c>
      <c r="AS67" s="9">
        <f t="shared" si="9"/>
        <v>2</v>
      </c>
      <c r="AT67" s="9">
        <f t="shared" si="10"/>
        <v>5</v>
      </c>
      <c r="AU67" s="9">
        <f t="shared" si="11"/>
        <v>0</v>
      </c>
      <c r="AV67" s="13">
        <f t="shared" si="12"/>
        <v>5.69</v>
      </c>
      <c r="AW67" s="13">
        <f t="shared" si="13"/>
        <v>0</v>
      </c>
      <c r="AX67" s="9">
        <f t="shared" si="14"/>
        <v>1</v>
      </c>
      <c r="AY67" s="9">
        <f t="shared" si="15"/>
        <v>0</v>
      </c>
      <c r="AZ67" s="28">
        <f t="shared" si="53"/>
        <v>0</v>
      </c>
      <c r="BA67" s="9">
        <f t="shared" si="16"/>
        <v>1</v>
      </c>
      <c r="BB67" s="9">
        <f t="shared" si="17"/>
        <v>0</v>
      </c>
      <c r="BC67" s="28">
        <f t="shared" si="54"/>
        <v>0</v>
      </c>
      <c r="BD67" s="28">
        <f t="shared" si="55"/>
        <v>0</v>
      </c>
      <c r="BE67" s="13">
        <f t="shared" si="18"/>
        <v>15</v>
      </c>
      <c r="BF67" s="13">
        <f t="shared" si="19"/>
        <v>0</v>
      </c>
      <c r="BG67" s="28">
        <f t="shared" si="56"/>
        <v>15</v>
      </c>
    </row>
    <row r="68" spans="1:59" x14ac:dyDescent="0.2">
      <c r="A68" s="8">
        <f t="shared" si="57"/>
        <v>6</v>
      </c>
      <c r="B68" s="26">
        <f t="shared" si="0"/>
        <v>150</v>
      </c>
      <c r="C68" s="26">
        <f t="shared" si="20"/>
        <v>0</v>
      </c>
      <c r="D68" s="26">
        <f t="shared" si="21"/>
        <v>150</v>
      </c>
      <c r="E68" s="27">
        <f t="shared" si="22"/>
        <v>511.65</v>
      </c>
      <c r="F68" s="26">
        <f t="shared" si="23"/>
        <v>661.65</v>
      </c>
      <c r="G68" s="26">
        <f t="shared" si="24"/>
        <v>34405.799999999996</v>
      </c>
      <c r="H68" s="26">
        <f t="shared" si="25"/>
        <v>5531.0149999999994</v>
      </c>
      <c r="I68" s="26">
        <f t="shared" si="26"/>
        <v>28874.784999999996</v>
      </c>
      <c r="J68" s="26">
        <f t="shared" si="27"/>
        <v>555.28432692307683</v>
      </c>
      <c r="K68" s="26">
        <f t="shared" si="28"/>
        <v>125.88626772230262</v>
      </c>
      <c r="L68" s="26">
        <f t="shared" si="29"/>
        <v>429.39805920077418</v>
      </c>
      <c r="M68" s="26">
        <f t="shared" si="30"/>
        <v>129.06562500000001</v>
      </c>
      <c r="N68" s="27">
        <f t="shared" si="31"/>
        <v>223.80450000000002</v>
      </c>
      <c r="O68" s="27">
        <f t="shared" si="32"/>
        <v>0</v>
      </c>
      <c r="P68" s="26">
        <f t="shared" si="33"/>
        <v>908.15445192307675</v>
      </c>
      <c r="Q68" s="26">
        <f t="shared" si="34"/>
        <v>47224.03149999999</v>
      </c>
      <c r="R68" s="16">
        <f t="shared" si="35"/>
        <v>0.44499999999999995</v>
      </c>
      <c r="S68" s="26">
        <f t="shared" si="36"/>
        <v>58191.473571428556</v>
      </c>
      <c r="T68" s="27">
        <f t="shared" si="37"/>
        <v>18</v>
      </c>
      <c r="U68" s="26">
        <f t="shared" si="1"/>
        <v>890.15445192307675</v>
      </c>
      <c r="V68" s="16">
        <f t="shared" si="58"/>
        <v>0.56499999999999995</v>
      </c>
      <c r="W68" s="28">
        <f t="shared" si="2"/>
        <v>511.65</v>
      </c>
      <c r="X68" s="29">
        <f t="shared" si="38"/>
        <v>0</v>
      </c>
      <c r="Y68" s="29">
        <f t="shared" si="39"/>
        <v>0</v>
      </c>
      <c r="Z68" s="29">
        <f t="shared" si="40"/>
        <v>0</v>
      </c>
      <c r="AA68" s="28">
        <f t="shared" si="41"/>
        <v>511.65</v>
      </c>
      <c r="AB68" s="28">
        <f t="shared" si="42"/>
        <v>127.91249999999999</v>
      </c>
      <c r="AC68" s="28">
        <f t="shared" si="3"/>
        <v>172.08750000000001</v>
      </c>
      <c r="AD68" s="28">
        <f t="shared" si="43"/>
        <v>129.06562500000001</v>
      </c>
      <c r="AE68" s="13">
        <f t="shared" si="4"/>
        <v>129.06562500000001</v>
      </c>
      <c r="AF68" s="13">
        <f t="shared" si="5"/>
        <v>0</v>
      </c>
      <c r="AG68" s="13">
        <f t="shared" si="44"/>
        <v>129.06562500000001</v>
      </c>
      <c r="AH68" s="28">
        <f t="shared" si="6"/>
        <v>231.81</v>
      </c>
      <c r="AI68" s="13">
        <f t="shared" si="7"/>
        <v>29.649999999999977</v>
      </c>
      <c r="AJ68" s="28">
        <f t="shared" si="8"/>
        <v>8.0054999999999943</v>
      </c>
      <c r="AK68" s="13">
        <f t="shared" si="45"/>
        <v>223.80450000000002</v>
      </c>
      <c r="AL68" s="47">
        <f t="shared" si="46"/>
        <v>6</v>
      </c>
      <c r="AM68" s="13" t="str">
        <f t="shared" si="47"/>
        <v>N</v>
      </c>
      <c r="AN68" s="13">
        <f t="shared" si="48"/>
        <v>0</v>
      </c>
      <c r="AO68" s="13" t="str">
        <f t="shared" si="49"/>
        <v>N</v>
      </c>
      <c r="AP68" s="13">
        <f t="shared" si="50"/>
        <v>72.5</v>
      </c>
      <c r="AQ68" s="13">
        <f t="shared" si="51"/>
        <v>0</v>
      </c>
      <c r="AR68" s="13">
        <f t="shared" si="52"/>
        <v>0</v>
      </c>
      <c r="AS68" s="9">
        <f t="shared" si="9"/>
        <v>2</v>
      </c>
      <c r="AT68" s="9">
        <f t="shared" si="10"/>
        <v>6</v>
      </c>
      <c r="AU68" s="9">
        <f t="shared" si="11"/>
        <v>0</v>
      </c>
      <c r="AV68" s="13">
        <f t="shared" si="12"/>
        <v>5.69</v>
      </c>
      <c r="AW68" s="13">
        <f t="shared" si="13"/>
        <v>0</v>
      </c>
      <c r="AX68" s="9">
        <f t="shared" si="14"/>
        <v>1</v>
      </c>
      <c r="AY68" s="9">
        <f t="shared" si="15"/>
        <v>0</v>
      </c>
      <c r="AZ68" s="28">
        <f t="shared" si="53"/>
        <v>0</v>
      </c>
      <c r="BA68" s="9">
        <f t="shared" si="16"/>
        <v>1</v>
      </c>
      <c r="BB68" s="9">
        <f t="shared" si="17"/>
        <v>0</v>
      </c>
      <c r="BC68" s="28">
        <f t="shared" si="54"/>
        <v>0</v>
      </c>
      <c r="BD68" s="28">
        <f t="shared" si="55"/>
        <v>0</v>
      </c>
      <c r="BE68" s="13">
        <f t="shared" si="18"/>
        <v>18</v>
      </c>
      <c r="BF68" s="13">
        <f t="shared" si="19"/>
        <v>0</v>
      </c>
      <c r="BG68" s="28">
        <f t="shared" si="56"/>
        <v>18</v>
      </c>
    </row>
    <row r="69" spans="1:59" x14ac:dyDescent="0.2">
      <c r="A69" s="8">
        <f t="shared" si="57"/>
        <v>7</v>
      </c>
      <c r="B69" s="26">
        <f t="shared" si="0"/>
        <v>175</v>
      </c>
      <c r="C69" s="26">
        <f t="shared" si="20"/>
        <v>0</v>
      </c>
      <c r="D69" s="26">
        <f t="shared" si="21"/>
        <v>175</v>
      </c>
      <c r="E69" s="27">
        <f t="shared" si="22"/>
        <v>507.15</v>
      </c>
      <c r="F69" s="26">
        <f t="shared" si="23"/>
        <v>682.15</v>
      </c>
      <c r="G69" s="26">
        <f t="shared" si="24"/>
        <v>35471.799999999996</v>
      </c>
      <c r="H69" s="26">
        <f t="shared" si="25"/>
        <v>5717.5649999999996</v>
      </c>
      <c r="I69" s="26">
        <f t="shared" si="26"/>
        <v>29754.234999999997</v>
      </c>
      <c r="J69" s="26">
        <f t="shared" si="27"/>
        <v>572.19682692307686</v>
      </c>
      <c r="K69" s="26">
        <f t="shared" si="28"/>
        <v>146.79241326913211</v>
      </c>
      <c r="L69" s="26">
        <f t="shared" si="29"/>
        <v>425.40441365394474</v>
      </c>
      <c r="M69" s="26">
        <f t="shared" si="30"/>
        <v>129.06562500000001</v>
      </c>
      <c r="N69" s="27">
        <f t="shared" si="31"/>
        <v>218.26949999999999</v>
      </c>
      <c r="O69" s="27">
        <f t="shared" si="32"/>
        <v>0</v>
      </c>
      <c r="P69" s="26">
        <f t="shared" si="33"/>
        <v>919.53195192307692</v>
      </c>
      <c r="Q69" s="26">
        <f t="shared" si="34"/>
        <v>47815.661500000002</v>
      </c>
      <c r="R69" s="16">
        <f t="shared" si="35"/>
        <v>0.54489999999999328</v>
      </c>
      <c r="S69" s="26">
        <f t="shared" si="36"/>
        <v>59036.65928571429</v>
      </c>
      <c r="T69" s="27">
        <f t="shared" si="37"/>
        <v>21</v>
      </c>
      <c r="U69" s="26">
        <f t="shared" si="1"/>
        <v>898.53195192307692</v>
      </c>
      <c r="V69" s="16">
        <f t="shared" si="58"/>
        <v>0.66489999999999327</v>
      </c>
      <c r="W69" s="28">
        <f t="shared" si="2"/>
        <v>511.65</v>
      </c>
      <c r="X69" s="29">
        <f t="shared" si="38"/>
        <v>4.5</v>
      </c>
      <c r="Y69" s="29">
        <f t="shared" si="39"/>
        <v>0</v>
      </c>
      <c r="Z69" s="29">
        <f t="shared" si="40"/>
        <v>4.5</v>
      </c>
      <c r="AA69" s="28">
        <f t="shared" si="41"/>
        <v>507.15</v>
      </c>
      <c r="AB69" s="28">
        <f t="shared" si="42"/>
        <v>127.91249999999999</v>
      </c>
      <c r="AC69" s="28">
        <f t="shared" si="3"/>
        <v>172.08750000000001</v>
      </c>
      <c r="AD69" s="28">
        <f t="shared" si="43"/>
        <v>129.06562500000001</v>
      </c>
      <c r="AE69" s="13">
        <f t="shared" si="4"/>
        <v>129.06562500000001</v>
      </c>
      <c r="AF69" s="13">
        <f t="shared" si="5"/>
        <v>0</v>
      </c>
      <c r="AG69" s="13">
        <f t="shared" si="44"/>
        <v>129.06562500000001</v>
      </c>
      <c r="AH69" s="28">
        <f t="shared" si="6"/>
        <v>231.81</v>
      </c>
      <c r="AI69" s="13">
        <f t="shared" si="7"/>
        <v>50.149999999999977</v>
      </c>
      <c r="AJ69" s="28">
        <f t="shared" si="8"/>
        <v>13.540499999999994</v>
      </c>
      <c r="AK69" s="13">
        <f t="shared" si="45"/>
        <v>218.26949999999999</v>
      </c>
      <c r="AL69" s="47">
        <f t="shared" si="46"/>
        <v>7</v>
      </c>
      <c r="AM69" s="13" t="str">
        <f t="shared" si="47"/>
        <v>N</v>
      </c>
      <c r="AN69" s="13">
        <f t="shared" si="48"/>
        <v>0</v>
      </c>
      <c r="AO69" s="13" t="str">
        <f t="shared" si="49"/>
        <v>N</v>
      </c>
      <c r="AP69" s="13">
        <f t="shared" si="50"/>
        <v>72.5</v>
      </c>
      <c r="AQ69" s="13">
        <f t="shared" si="51"/>
        <v>0</v>
      </c>
      <c r="AR69" s="13">
        <f t="shared" si="52"/>
        <v>0</v>
      </c>
      <c r="AS69" s="9">
        <f t="shared" si="9"/>
        <v>2</v>
      </c>
      <c r="AT69" s="9">
        <f t="shared" si="10"/>
        <v>7</v>
      </c>
      <c r="AU69" s="9">
        <f t="shared" si="11"/>
        <v>0</v>
      </c>
      <c r="AV69" s="13">
        <f t="shared" si="12"/>
        <v>5.69</v>
      </c>
      <c r="AW69" s="13">
        <f t="shared" si="13"/>
        <v>0</v>
      </c>
      <c r="AX69" s="9">
        <f t="shared" si="14"/>
        <v>1</v>
      </c>
      <c r="AY69" s="9">
        <f t="shared" si="15"/>
        <v>0</v>
      </c>
      <c r="AZ69" s="28">
        <f t="shared" si="53"/>
        <v>0</v>
      </c>
      <c r="BA69" s="9">
        <f t="shared" si="16"/>
        <v>1</v>
      </c>
      <c r="BB69" s="9">
        <f t="shared" si="17"/>
        <v>0</v>
      </c>
      <c r="BC69" s="28">
        <f t="shared" si="54"/>
        <v>0</v>
      </c>
      <c r="BD69" s="28">
        <f t="shared" si="55"/>
        <v>0</v>
      </c>
      <c r="BE69" s="13">
        <f t="shared" si="18"/>
        <v>21</v>
      </c>
      <c r="BF69" s="13">
        <f t="shared" si="19"/>
        <v>0</v>
      </c>
      <c r="BG69" s="28">
        <f t="shared" si="56"/>
        <v>21</v>
      </c>
    </row>
    <row r="70" spans="1:59" x14ac:dyDescent="0.2">
      <c r="A70" s="8">
        <f t="shared" si="57"/>
        <v>8</v>
      </c>
      <c r="B70" s="26">
        <f t="shared" si="0"/>
        <v>200</v>
      </c>
      <c r="C70" s="26">
        <f t="shared" si="20"/>
        <v>0</v>
      </c>
      <c r="D70" s="26">
        <f t="shared" si="21"/>
        <v>200</v>
      </c>
      <c r="E70" s="27">
        <f t="shared" si="22"/>
        <v>499.65</v>
      </c>
      <c r="F70" s="26">
        <f t="shared" si="23"/>
        <v>699.65</v>
      </c>
      <c r="G70" s="26">
        <f t="shared" si="24"/>
        <v>36381.799999999996</v>
      </c>
      <c r="H70" s="26">
        <f t="shared" si="25"/>
        <v>5876.8149999999996</v>
      </c>
      <c r="I70" s="26">
        <f t="shared" si="26"/>
        <v>30504.984999999997</v>
      </c>
      <c r="J70" s="26">
        <f t="shared" si="27"/>
        <v>586.63432692307686</v>
      </c>
      <c r="K70" s="26">
        <f t="shared" si="28"/>
        <v>167.69365451956747</v>
      </c>
      <c r="L70" s="26">
        <f t="shared" si="29"/>
        <v>418.94067240350944</v>
      </c>
      <c r="M70" s="26">
        <f t="shared" si="30"/>
        <v>129.06562500000001</v>
      </c>
      <c r="N70" s="27">
        <f t="shared" si="31"/>
        <v>213.5445</v>
      </c>
      <c r="O70" s="27">
        <f t="shared" si="32"/>
        <v>0</v>
      </c>
      <c r="P70" s="26">
        <f t="shared" si="33"/>
        <v>929.24445192307689</v>
      </c>
      <c r="Q70" s="26">
        <f t="shared" si="34"/>
        <v>48320.711499999998</v>
      </c>
      <c r="R70" s="16">
        <f t="shared" si="35"/>
        <v>0.61150000000000093</v>
      </c>
      <c r="S70" s="26">
        <f t="shared" si="36"/>
        <v>59758.159285714282</v>
      </c>
      <c r="T70" s="27">
        <f t="shared" si="37"/>
        <v>24</v>
      </c>
      <c r="U70" s="26">
        <f t="shared" si="1"/>
        <v>905.24445192307689</v>
      </c>
      <c r="V70" s="16">
        <f t="shared" si="58"/>
        <v>0.73150000000000093</v>
      </c>
      <c r="W70" s="28">
        <f t="shared" si="2"/>
        <v>511.65</v>
      </c>
      <c r="X70" s="29">
        <f t="shared" si="38"/>
        <v>12</v>
      </c>
      <c r="Y70" s="29">
        <f t="shared" si="39"/>
        <v>0</v>
      </c>
      <c r="Z70" s="29">
        <f t="shared" si="40"/>
        <v>12</v>
      </c>
      <c r="AA70" s="28">
        <f t="shared" si="41"/>
        <v>499.65</v>
      </c>
      <c r="AB70" s="28">
        <f t="shared" si="42"/>
        <v>127.91249999999999</v>
      </c>
      <c r="AC70" s="28">
        <f t="shared" si="3"/>
        <v>172.08750000000001</v>
      </c>
      <c r="AD70" s="28">
        <f t="shared" si="43"/>
        <v>129.06562500000001</v>
      </c>
      <c r="AE70" s="13">
        <f t="shared" si="4"/>
        <v>129.06562500000001</v>
      </c>
      <c r="AF70" s="13">
        <f t="shared" si="5"/>
        <v>0</v>
      </c>
      <c r="AG70" s="13">
        <f t="shared" si="44"/>
        <v>129.06562500000001</v>
      </c>
      <c r="AH70" s="28">
        <f t="shared" si="6"/>
        <v>231.81</v>
      </c>
      <c r="AI70" s="13">
        <f t="shared" si="7"/>
        <v>67.649999999999977</v>
      </c>
      <c r="AJ70" s="28">
        <f t="shared" si="8"/>
        <v>18.265499999999996</v>
      </c>
      <c r="AK70" s="13">
        <f t="shared" si="45"/>
        <v>213.5445</v>
      </c>
      <c r="AL70" s="47">
        <f t="shared" si="46"/>
        <v>8</v>
      </c>
      <c r="AM70" s="13" t="str">
        <f t="shared" si="47"/>
        <v>N</v>
      </c>
      <c r="AN70" s="13">
        <f t="shared" si="48"/>
        <v>0</v>
      </c>
      <c r="AO70" s="13" t="str">
        <f t="shared" si="49"/>
        <v>N</v>
      </c>
      <c r="AP70" s="13">
        <f t="shared" si="50"/>
        <v>72.5</v>
      </c>
      <c r="AQ70" s="13">
        <f t="shared" si="51"/>
        <v>0</v>
      </c>
      <c r="AR70" s="13">
        <f t="shared" si="52"/>
        <v>0</v>
      </c>
      <c r="AS70" s="9">
        <f t="shared" si="9"/>
        <v>2</v>
      </c>
      <c r="AT70" s="9">
        <f t="shared" si="10"/>
        <v>8</v>
      </c>
      <c r="AU70" s="9">
        <f t="shared" si="11"/>
        <v>0</v>
      </c>
      <c r="AV70" s="13">
        <f t="shared" si="12"/>
        <v>5.69</v>
      </c>
      <c r="AW70" s="13">
        <f t="shared" si="13"/>
        <v>0</v>
      </c>
      <c r="AX70" s="9">
        <f t="shared" si="14"/>
        <v>1</v>
      </c>
      <c r="AY70" s="9">
        <f t="shared" si="15"/>
        <v>0</v>
      </c>
      <c r="AZ70" s="28">
        <f t="shared" si="53"/>
        <v>0</v>
      </c>
      <c r="BA70" s="9">
        <f t="shared" si="16"/>
        <v>1</v>
      </c>
      <c r="BB70" s="9">
        <f t="shared" si="17"/>
        <v>0</v>
      </c>
      <c r="BC70" s="28">
        <f t="shared" si="54"/>
        <v>0</v>
      </c>
      <c r="BD70" s="28">
        <f t="shared" si="55"/>
        <v>0</v>
      </c>
      <c r="BE70" s="13">
        <f t="shared" si="18"/>
        <v>24</v>
      </c>
      <c r="BF70" s="13">
        <f t="shared" si="19"/>
        <v>0</v>
      </c>
      <c r="BG70" s="28">
        <f t="shared" si="56"/>
        <v>24</v>
      </c>
    </row>
    <row r="71" spans="1:59" x14ac:dyDescent="0.2">
      <c r="A71" s="8">
        <f t="shared" si="57"/>
        <v>9</v>
      </c>
      <c r="B71" s="26">
        <f t="shared" si="0"/>
        <v>225</v>
      </c>
      <c r="C71" s="26">
        <f t="shared" si="20"/>
        <v>0</v>
      </c>
      <c r="D71" s="26">
        <f t="shared" si="21"/>
        <v>225</v>
      </c>
      <c r="E71" s="27">
        <f t="shared" si="22"/>
        <v>492.15</v>
      </c>
      <c r="F71" s="26">
        <f t="shared" si="23"/>
        <v>717.15</v>
      </c>
      <c r="G71" s="26">
        <f t="shared" si="24"/>
        <v>37291.799999999996</v>
      </c>
      <c r="H71" s="26">
        <f t="shared" si="25"/>
        <v>6036.0649999999996</v>
      </c>
      <c r="I71" s="26">
        <f t="shared" si="26"/>
        <v>31255.734999999997</v>
      </c>
      <c r="J71" s="26">
        <f t="shared" si="27"/>
        <v>601.07182692307686</v>
      </c>
      <c r="K71" s="26">
        <f t="shared" si="28"/>
        <v>188.58141401058677</v>
      </c>
      <c r="L71" s="26">
        <f t="shared" si="29"/>
        <v>412.49041291249011</v>
      </c>
      <c r="M71" s="26">
        <f t="shared" si="30"/>
        <v>129.06562500000001</v>
      </c>
      <c r="N71" s="27">
        <f t="shared" si="31"/>
        <v>208.81950000000001</v>
      </c>
      <c r="O71" s="27">
        <f t="shared" si="32"/>
        <v>0</v>
      </c>
      <c r="P71" s="26">
        <f t="shared" si="33"/>
        <v>938.95695192307699</v>
      </c>
      <c r="Q71" s="26">
        <f t="shared" si="34"/>
        <v>48825.761500000001</v>
      </c>
      <c r="R71" s="16">
        <f t="shared" si="35"/>
        <v>0.61149999999999638</v>
      </c>
      <c r="S71" s="26">
        <f t="shared" si="36"/>
        <v>60479.65928571429</v>
      </c>
      <c r="T71" s="27">
        <f t="shared" si="37"/>
        <v>27</v>
      </c>
      <c r="U71" s="26">
        <f t="shared" si="1"/>
        <v>911.95695192307699</v>
      </c>
      <c r="V71" s="16">
        <f t="shared" si="58"/>
        <v>0.73149999999999638</v>
      </c>
      <c r="W71" s="28">
        <f t="shared" si="2"/>
        <v>511.65</v>
      </c>
      <c r="X71" s="29">
        <f t="shared" si="38"/>
        <v>19.5</v>
      </c>
      <c r="Y71" s="29">
        <f t="shared" si="39"/>
        <v>0</v>
      </c>
      <c r="Z71" s="29">
        <f t="shared" si="40"/>
        <v>19.5</v>
      </c>
      <c r="AA71" s="28">
        <f t="shared" si="41"/>
        <v>492.15</v>
      </c>
      <c r="AB71" s="28">
        <f t="shared" si="42"/>
        <v>127.91249999999999</v>
      </c>
      <c r="AC71" s="28">
        <f t="shared" si="3"/>
        <v>172.08750000000001</v>
      </c>
      <c r="AD71" s="28">
        <f t="shared" si="43"/>
        <v>129.06562500000001</v>
      </c>
      <c r="AE71" s="13">
        <f t="shared" si="4"/>
        <v>129.06562500000001</v>
      </c>
      <c r="AF71" s="13">
        <f t="shared" si="5"/>
        <v>0</v>
      </c>
      <c r="AG71" s="13">
        <f t="shared" si="44"/>
        <v>129.06562500000001</v>
      </c>
      <c r="AH71" s="28">
        <f t="shared" si="6"/>
        <v>231.81</v>
      </c>
      <c r="AI71" s="13">
        <f t="shared" si="7"/>
        <v>85.149999999999977</v>
      </c>
      <c r="AJ71" s="28">
        <f t="shared" si="8"/>
        <v>22.990499999999994</v>
      </c>
      <c r="AK71" s="13">
        <f t="shared" si="45"/>
        <v>208.81950000000001</v>
      </c>
      <c r="AL71" s="47">
        <f t="shared" si="46"/>
        <v>9</v>
      </c>
      <c r="AM71" s="13" t="str">
        <f t="shared" si="47"/>
        <v>N</v>
      </c>
      <c r="AN71" s="13">
        <f t="shared" si="48"/>
        <v>0</v>
      </c>
      <c r="AO71" s="13" t="str">
        <f t="shared" si="49"/>
        <v>N</v>
      </c>
      <c r="AP71" s="13">
        <f t="shared" si="50"/>
        <v>72.5</v>
      </c>
      <c r="AQ71" s="13">
        <f t="shared" si="51"/>
        <v>0</v>
      </c>
      <c r="AR71" s="13">
        <f t="shared" si="52"/>
        <v>0</v>
      </c>
      <c r="AS71" s="9">
        <f t="shared" si="9"/>
        <v>2</v>
      </c>
      <c r="AT71" s="9">
        <f t="shared" si="10"/>
        <v>9</v>
      </c>
      <c r="AU71" s="9">
        <f t="shared" si="11"/>
        <v>0</v>
      </c>
      <c r="AV71" s="13">
        <f t="shared" si="12"/>
        <v>5.69</v>
      </c>
      <c r="AW71" s="13">
        <f t="shared" si="13"/>
        <v>0</v>
      </c>
      <c r="AX71" s="9">
        <f t="shared" si="14"/>
        <v>1</v>
      </c>
      <c r="AY71" s="9">
        <f t="shared" si="15"/>
        <v>0</v>
      </c>
      <c r="AZ71" s="28">
        <f t="shared" si="53"/>
        <v>0</v>
      </c>
      <c r="BA71" s="9">
        <f t="shared" si="16"/>
        <v>1</v>
      </c>
      <c r="BB71" s="9">
        <f t="shared" si="17"/>
        <v>0</v>
      </c>
      <c r="BC71" s="28">
        <f t="shared" si="54"/>
        <v>0</v>
      </c>
      <c r="BD71" s="28">
        <f t="shared" si="55"/>
        <v>0</v>
      </c>
      <c r="BE71" s="13">
        <f t="shared" si="18"/>
        <v>27</v>
      </c>
      <c r="BF71" s="13">
        <f t="shared" si="19"/>
        <v>0</v>
      </c>
      <c r="BG71" s="28">
        <f t="shared" si="56"/>
        <v>27</v>
      </c>
    </row>
    <row r="72" spans="1:59" x14ac:dyDescent="0.2">
      <c r="A72" s="8">
        <f t="shared" si="57"/>
        <v>10</v>
      </c>
      <c r="B72" s="26">
        <f t="shared" si="0"/>
        <v>250</v>
      </c>
      <c r="C72" s="26">
        <f t="shared" si="20"/>
        <v>0</v>
      </c>
      <c r="D72" s="26">
        <f t="shared" si="21"/>
        <v>250</v>
      </c>
      <c r="E72" s="27">
        <f t="shared" si="22"/>
        <v>484.65</v>
      </c>
      <c r="F72" s="26">
        <f t="shared" si="23"/>
        <v>734.65</v>
      </c>
      <c r="G72" s="26">
        <f t="shared" si="24"/>
        <v>38201.799999999996</v>
      </c>
      <c r="H72" s="26">
        <f t="shared" si="25"/>
        <v>6195.3149999999987</v>
      </c>
      <c r="I72" s="26">
        <f t="shared" si="26"/>
        <v>32006.484999999997</v>
      </c>
      <c r="J72" s="26">
        <f t="shared" si="27"/>
        <v>615.50932692307686</v>
      </c>
      <c r="K72" s="26">
        <f t="shared" si="28"/>
        <v>209.45665518378712</v>
      </c>
      <c r="L72" s="26">
        <f t="shared" si="29"/>
        <v>406.05267173928974</v>
      </c>
      <c r="M72" s="26">
        <f t="shared" si="30"/>
        <v>129.06562500000001</v>
      </c>
      <c r="N72" s="27">
        <f t="shared" si="31"/>
        <v>204.09450000000001</v>
      </c>
      <c r="O72" s="27">
        <f t="shared" si="32"/>
        <v>0</v>
      </c>
      <c r="P72" s="26">
        <f t="shared" si="33"/>
        <v>948.66945192307696</v>
      </c>
      <c r="Q72" s="26">
        <f t="shared" si="34"/>
        <v>49330.811500000003</v>
      </c>
      <c r="R72" s="16">
        <f t="shared" si="35"/>
        <v>0.61150000000000093</v>
      </c>
      <c r="S72" s="26">
        <f t="shared" si="36"/>
        <v>61201.15928571429</v>
      </c>
      <c r="T72" s="27">
        <f t="shared" si="37"/>
        <v>30</v>
      </c>
      <c r="U72" s="26">
        <f t="shared" si="1"/>
        <v>918.66945192307696</v>
      </c>
      <c r="V72" s="16">
        <f t="shared" si="58"/>
        <v>0.73150000000000093</v>
      </c>
      <c r="W72" s="28">
        <f t="shared" si="2"/>
        <v>511.65</v>
      </c>
      <c r="X72" s="29">
        <f t="shared" si="38"/>
        <v>27</v>
      </c>
      <c r="Y72" s="29">
        <f t="shared" si="39"/>
        <v>0</v>
      </c>
      <c r="Z72" s="29">
        <f t="shared" si="40"/>
        <v>27</v>
      </c>
      <c r="AA72" s="28">
        <f t="shared" si="41"/>
        <v>484.65</v>
      </c>
      <c r="AB72" s="28">
        <f t="shared" si="42"/>
        <v>127.91249999999999</v>
      </c>
      <c r="AC72" s="28">
        <f t="shared" si="3"/>
        <v>172.08750000000001</v>
      </c>
      <c r="AD72" s="28">
        <f t="shared" si="43"/>
        <v>129.06562500000001</v>
      </c>
      <c r="AE72" s="13">
        <f t="shared" si="4"/>
        <v>129.06562500000001</v>
      </c>
      <c r="AF72" s="13">
        <f t="shared" si="5"/>
        <v>0</v>
      </c>
      <c r="AG72" s="13">
        <f t="shared" si="44"/>
        <v>129.06562500000001</v>
      </c>
      <c r="AH72" s="28">
        <f t="shared" si="6"/>
        <v>231.81</v>
      </c>
      <c r="AI72" s="13">
        <f t="shared" si="7"/>
        <v>102.64999999999998</v>
      </c>
      <c r="AJ72" s="28">
        <f t="shared" si="8"/>
        <v>27.715499999999995</v>
      </c>
      <c r="AK72" s="13">
        <f t="shared" si="45"/>
        <v>204.09450000000001</v>
      </c>
      <c r="AL72" s="47">
        <f t="shared" si="46"/>
        <v>10</v>
      </c>
      <c r="AM72" s="13" t="str">
        <f t="shared" si="47"/>
        <v>N</v>
      </c>
      <c r="AN72" s="13">
        <f t="shared" si="48"/>
        <v>0</v>
      </c>
      <c r="AO72" s="13" t="str">
        <f t="shared" si="49"/>
        <v>N</v>
      </c>
      <c r="AP72" s="13">
        <f t="shared" si="50"/>
        <v>72.5</v>
      </c>
      <c r="AQ72" s="13">
        <f t="shared" si="51"/>
        <v>0</v>
      </c>
      <c r="AR72" s="13">
        <f t="shared" si="52"/>
        <v>0</v>
      </c>
      <c r="AS72" s="9">
        <f t="shared" si="9"/>
        <v>2</v>
      </c>
      <c r="AT72" s="9">
        <f t="shared" si="10"/>
        <v>10</v>
      </c>
      <c r="AU72" s="9">
        <f t="shared" si="11"/>
        <v>0</v>
      </c>
      <c r="AV72" s="13">
        <f t="shared" si="12"/>
        <v>5.69</v>
      </c>
      <c r="AW72" s="13">
        <f t="shared" si="13"/>
        <v>0</v>
      </c>
      <c r="AX72" s="9">
        <f t="shared" si="14"/>
        <v>1</v>
      </c>
      <c r="AY72" s="9">
        <f t="shared" si="15"/>
        <v>0</v>
      </c>
      <c r="AZ72" s="28">
        <f t="shared" si="53"/>
        <v>0</v>
      </c>
      <c r="BA72" s="9">
        <f t="shared" si="16"/>
        <v>1</v>
      </c>
      <c r="BB72" s="9">
        <f t="shared" si="17"/>
        <v>0</v>
      </c>
      <c r="BC72" s="28">
        <f t="shared" si="54"/>
        <v>0</v>
      </c>
      <c r="BD72" s="28">
        <f t="shared" si="55"/>
        <v>0</v>
      </c>
      <c r="BE72" s="13">
        <f t="shared" si="18"/>
        <v>30</v>
      </c>
      <c r="BF72" s="13">
        <f t="shared" si="19"/>
        <v>0</v>
      </c>
      <c r="BG72" s="28">
        <f t="shared" si="56"/>
        <v>30</v>
      </c>
    </row>
    <row r="73" spans="1:59" x14ac:dyDescent="0.2">
      <c r="A73" s="8">
        <f t="shared" si="57"/>
        <v>11</v>
      </c>
      <c r="B73" s="26">
        <f t="shared" si="0"/>
        <v>275</v>
      </c>
      <c r="C73" s="26">
        <f t="shared" si="20"/>
        <v>0</v>
      </c>
      <c r="D73" s="26">
        <f t="shared" si="21"/>
        <v>275</v>
      </c>
      <c r="E73" s="27">
        <f t="shared" si="22"/>
        <v>467.15</v>
      </c>
      <c r="F73" s="26">
        <f t="shared" si="23"/>
        <v>742.15</v>
      </c>
      <c r="G73" s="26">
        <f t="shared" si="24"/>
        <v>38591.799999999996</v>
      </c>
      <c r="H73" s="26">
        <f t="shared" si="25"/>
        <v>6263.5649999999987</v>
      </c>
      <c r="I73" s="26">
        <f t="shared" si="26"/>
        <v>32328.234999999997</v>
      </c>
      <c r="J73" s="26">
        <f t="shared" si="27"/>
        <v>621.69682692307686</v>
      </c>
      <c r="K73" s="26">
        <f t="shared" si="28"/>
        <v>230.36667439715171</v>
      </c>
      <c r="L73" s="26">
        <f t="shared" si="29"/>
        <v>391.33015252592514</v>
      </c>
      <c r="M73" s="26">
        <f t="shared" si="30"/>
        <v>129.06562500000001</v>
      </c>
      <c r="N73" s="27">
        <f t="shared" si="31"/>
        <v>202.06950000000001</v>
      </c>
      <c r="O73" s="27">
        <f t="shared" si="32"/>
        <v>0</v>
      </c>
      <c r="P73" s="26">
        <f t="shared" si="33"/>
        <v>952.83195192307699</v>
      </c>
      <c r="Q73" s="26">
        <f t="shared" si="34"/>
        <v>49547.261500000001</v>
      </c>
      <c r="R73" s="16">
        <f t="shared" si="35"/>
        <v>0.83349999999999913</v>
      </c>
      <c r="S73" s="26">
        <f t="shared" si="36"/>
        <v>61510.373571428572</v>
      </c>
      <c r="T73" s="27">
        <f t="shared" si="37"/>
        <v>33</v>
      </c>
      <c r="U73" s="26">
        <f t="shared" si="1"/>
        <v>919.83195192307699</v>
      </c>
      <c r="V73" s="16">
        <f t="shared" si="58"/>
        <v>0.95349999999999913</v>
      </c>
      <c r="W73" s="28">
        <f t="shared" si="2"/>
        <v>511.65</v>
      </c>
      <c r="X73" s="29">
        <f t="shared" si="38"/>
        <v>27</v>
      </c>
      <c r="Y73" s="29">
        <f t="shared" si="39"/>
        <v>17.5</v>
      </c>
      <c r="Z73" s="29">
        <f t="shared" si="40"/>
        <v>44.5</v>
      </c>
      <c r="AA73" s="28">
        <f t="shared" si="41"/>
        <v>467.15</v>
      </c>
      <c r="AB73" s="28">
        <f t="shared" si="42"/>
        <v>127.91249999999999</v>
      </c>
      <c r="AC73" s="28">
        <f t="shared" si="3"/>
        <v>172.08750000000001</v>
      </c>
      <c r="AD73" s="28">
        <f t="shared" si="43"/>
        <v>129.06562500000001</v>
      </c>
      <c r="AE73" s="13">
        <f t="shared" si="4"/>
        <v>129.06562500000001</v>
      </c>
      <c r="AF73" s="13">
        <f t="shared" si="5"/>
        <v>0</v>
      </c>
      <c r="AG73" s="13">
        <f t="shared" si="44"/>
        <v>129.06562500000001</v>
      </c>
      <c r="AH73" s="28">
        <f t="shared" si="6"/>
        <v>231.81</v>
      </c>
      <c r="AI73" s="13">
        <f t="shared" si="7"/>
        <v>110.14999999999998</v>
      </c>
      <c r="AJ73" s="28">
        <f t="shared" si="8"/>
        <v>29.740499999999997</v>
      </c>
      <c r="AK73" s="13">
        <f t="shared" si="45"/>
        <v>202.06950000000001</v>
      </c>
      <c r="AL73" s="47">
        <f t="shared" si="46"/>
        <v>11</v>
      </c>
      <c r="AM73" s="13" t="str">
        <f t="shared" si="47"/>
        <v>N</v>
      </c>
      <c r="AN73" s="13">
        <f t="shared" si="48"/>
        <v>0</v>
      </c>
      <c r="AO73" s="13" t="str">
        <f t="shared" si="49"/>
        <v>N</v>
      </c>
      <c r="AP73" s="13">
        <f t="shared" si="50"/>
        <v>72.5</v>
      </c>
      <c r="AQ73" s="13">
        <f t="shared" si="51"/>
        <v>0</v>
      </c>
      <c r="AR73" s="13">
        <f t="shared" si="52"/>
        <v>0</v>
      </c>
      <c r="AS73" s="9">
        <f t="shared" si="9"/>
        <v>2</v>
      </c>
      <c r="AT73" s="9">
        <f t="shared" si="10"/>
        <v>11</v>
      </c>
      <c r="AU73" s="9">
        <f t="shared" si="11"/>
        <v>0</v>
      </c>
      <c r="AV73" s="13">
        <f t="shared" si="12"/>
        <v>5.69</v>
      </c>
      <c r="AW73" s="13">
        <f t="shared" si="13"/>
        <v>0</v>
      </c>
      <c r="AX73" s="9">
        <f t="shared" si="14"/>
        <v>1</v>
      </c>
      <c r="AY73" s="9">
        <f t="shared" si="15"/>
        <v>0</v>
      </c>
      <c r="AZ73" s="28">
        <f t="shared" si="53"/>
        <v>0</v>
      </c>
      <c r="BA73" s="9">
        <f t="shared" si="16"/>
        <v>1</v>
      </c>
      <c r="BB73" s="9">
        <f t="shared" si="17"/>
        <v>0</v>
      </c>
      <c r="BC73" s="28">
        <f t="shared" si="54"/>
        <v>0</v>
      </c>
      <c r="BD73" s="28">
        <f t="shared" si="55"/>
        <v>0</v>
      </c>
      <c r="BE73" s="13">
        <f t="shared" si="18"/>
        <v>33</v>
      </c>
      <c r="BF73" s="13">
        <f t="shared" si="19"/>
        <v>0</v>
      </c>
      <c r="BG73" s="28">
        <f t="shared" si="56"/>
        <v>33</v>
      </c>
    </row>
    <row r="74" spans="1:59" x14ac:dyDescent="0.2">
      <c r="A74" s="8">
        <f t="shared" si="57"/>
        <v>12</v>
      </c>
      <c r="B74" s="26">
        <f t="shared" si="0"/>
        <v>300</v>
      </c>
      <c r="C74" s="26">
        <f t="shared" si="20"/>
        <v>0</v>
      </c>
      <c r="D74" s="26">
        <f t="shared" si="21"/>
        <v>300</v>
      </c>
      <c r="E74" s="27">
        <f t="shared" si="22"/>
        <v>449.65</v>
      </c>
      <c r="F74" s="26">
        <f t="shared" si="23"/>
        <v>749.65</v>
      </c>
      <c r="G74" s="26">
        <f t="shared" si="24"/>
        <v>38981.799999999996</v>
      </c>
      <c r="H74" s="26">
        <f t="shared" si="25"/>
        <v>6331.8149999999987</v>
      </c>
      <c r="I74" s="26">
        <f t="shared" si="26"/>
        <v>32649.984999999997</v>
      </c>
      <c r="J74" s="26">
        <f t="shared" si="27"/>
        <v>627.88432692307686</v>
      </c>
      <c r="K74" s="26">
        <f t="shared" si="28"/>
        <v>251.27099056482768</v>
      </c>
      <c r="L74" s="26">
        <f t="shared" si="29"/>
        <v>376.61333635824923</v>
      </c>
      <c r="M74" s="26">
        <f t="shared" si="30"/>
        <v>129.06562500000001</v>
      </c>
      <c r="N74" s="27">
        <f t="shared" si="31"/>
        <v>200.0445</v>
      </c>
      <c r="O74" s="27">
        <f t="shared" si="32"/>
        <v>0</v>
      </c>
      <c r="P74" s="26">
        <f t="shared" si="33"/>
        <v>956.99445192307689</v>
      </c>
      <c r="Q74" s="26">
        <f t="shared" si="34"/>
        <v>49763.711499999998</v>
      </c>
      <c r="R74" s="16">
        <f t="shared" si="35"/>
        <v>0.83350000000000368</v>
      </c>
      <c r="S74" s="26">
        <f t="shared" si="36"/>
        <v>61819.587857142855</v>
      </c>
      <c r="T74" s="27">
        <f t="shared" si="37"/>
        <v>36</v>
      </c>
      <c r="U74" s="26">
        <f t="shared" si="1"/>
        <v>920.99445192307689</v>
      </c>
      <c r="V74" s="16">
        <f t="shared" si="58"/>
        <v>0.95350000000000368</v>
      </c>
      <c r="W74" s="28">
        <f t="shared" si="2"/>
        <v>511.65</v>
      </c>
      <c r="X74" s="29">
        <f t="shared" si="38"/>
        <v>27</v>
      </c>
      <c r="Y74" s="29">
        <f t="shared" si="39"/>
        <v>35</v>
      </c>
      <c r="Z74" s="29">
        <f t="shared" si="40"/>
        <v>62</v>
      </c>
      <c r="AA74" s="28">
        <f t="shared" si="41"/>
        <v>449.65</v>
      </c>
      <c r="AB74" s="28">
        <f t="shared" si="42"/>
        <v>127.91249999999999</v>
      </c>
      <c r="AC74" s="28">
        <f t="shared" si="3"/>
        <v>172.08750000000001</v>
      </c>
      <c r="AD74" s="28">
        <f t="shared" si="43"/>
        <v>129.06562500000001</v>
      </c>
      <c r="AE74" s="13">
        <f t="shared" si="4"/>
        <v>129.06562500000001</v>
      </c>
      <c r="AF74" s="13">
        <f t="shared" si="5"/>
        <v>0</v>
      </c>
      <c r="AG74" s="13">
        <f t="shared" si="44"/>
        <v>129.06562500000001</v>
      </c>
      <c r="AH74" s="28">
        <f t="shared" si="6"/>
        <v>231.81</v>
      </c>
      <c r="AI74" s="13">
        <f t="shared" si="7"/>
        <v>117.64999999999998</v>
      </c>
      <c r="AJ74" s="28">
        <f t="shared" si="8"/>
        <v>31.765499999999996</v>
      </c>
      <c r="AK74" s="13">
        <f t="shared" si="45"/>
        <v>200.0445</v>
      </c>
      <c r="AL74" s="47">
        <f t="shared" si="46"/>
        <v>12</v>
      </c>
      <c r="AM74" s="13" t="str">
        <f t="shared" si="47"/>
        <v>N</v>
      </c>
      <c r="AN74" s="13">
        <f t="shared" si="48"/>
        <v>0</v>
      </c>
      <c r="AO74" s="13" t="str">
        <f t="shared" si="49"/>
        <v>N</v>
      </c>
      <c r="AP74" s="13">
        <f t="shared" si="50"/>
        <v>72.5</v>
      </c>
      <c r="AQ74" s="13">
        <f t="shared" si="51"/>
        <v>0</v>
      </c>
      <c r="AR74" s="13">
        <f t="shared" si="52"/>
        <v>0</v>
      </c>
      <c r="AS74" s="9">
        <f t="shared" si="9"/>
        <v>2</v>
      </c>
      <c r="AT74" s="9">
        <f t="shared" si="10"/>
        <v>12</v>
      </c>
      <c r="AU74" s="9">
        <f t="shared" si="11"/>
        <v>0</v>
      </c>
      <c r="AV74" s="13">
        <f t="shared" si="12"/>
        <v>5.69</v>
      </c>
      <c r="AW74" s="13">
        <f t="shared" si="13"/>
        <v>0</v>
      </c>
      <c r="AX74" s="9">
        <f t="shared" si="14"/>
        <v>1</v>
      </c>
      <c r="AY74" s="9">
        <f t="shared" si="15"/>
        <v>0</v>
      </c>
      <c r="AZ74" s="28">
        <f t="shared" si="53"/>
        <v>0</v>
      </c>
      <c r="BA74" s="9">
        <f t="shared" si="16"/>
        <v>1</v>
      </c>
      <c r="BB74" s="9">
        <f t="shared" si="17"/>
        <v>0</v>
      </c>
      <c r="BC74" s="28">
        <f t="shared" si="54"/>
        <v>0</v>
      </c>
      <c r="BD74" s="28">
        <f t="shared" si="55"/>
        <v>0</v>
      </c>
      <c r="BE74" s="13">
        <f t="shared" si="18"/>
        <v>36</v>
      </c>
      <c r="BF74" s="13">
        <f t="shared" si="19"/>
        <v>0</v>
      </c>
      <c r="BG74" s="28">
        <f t="shared" si="56"/>
        <v>36</v>
      </c>
    </row>
    <row r="75" spans="1:59" x14ac:dyDescent="0.2">
      <c r="A75" s="8">
        <f t="shared" si="57"/>
        <v>13</v>
      </c>
      <c r="B75" s="26">
        <f t="shared" si="0"/>
        <v>325</v>
      </c>
      <c r="C75" s="26">
        <f t="shared" si="20"/>
        <v>0</v>
      </c>
      <c r="D75" s="26">
        <f t="shared" si="21"/>
        <v>325</v>
      </c>
      <c r="E75" s="27">
        <f t="shared" si="22"/>
        <v>432.15</v>
      </c>
      <c r="F75" s="26">
        <f t="shared" si="23"/>
        <v>757.15</v>
      </c>
      <c r="G75" s="26">
        <f t="shared" si="24"/>
        <v>39371.799999999996</v>
      </c>
      <c r="H75" s="26">
        <f t="shared" si="25"/>
        <v>6400.0649999999987</v>
      </c>
      <c r="I75" s="26">
        <f t="shared" si="26"/>
        <v>32971.735000000001</v>
      </c>
      <c r="J75" s="26">
        <f t="shared" si="27"/>
        <v>634.07182692307697</v>
      </c>
      <c r="K75" s="26">
        <f t="shared" si="28"/>
        <v>272.1697731625174</v>
      </c>
      <c r="L75" s="26">
        <f t="shared" si="29"/>
        <v>361.90205376055962</v>
      </c>
      <c r="M75" s="26">
        <f t="shared" si="30"/>
        <v>129.06562500000001</v>
      </c>
      <c r="N75" s="27">
        <f t="shared" si="31"/>
        <v>198.01949999999999</v>
      </c>
      <c r="O75" s="27">
        <f t="shared" si="32"/>
        <v>0</v>
      </c>
      <c r="P75" s="26">
        <f t="shared" si="33"/>
        <v>961.15695192307692</v>
      </c>
      <c r="Q75" s="26">
        <f t="shared" si="34"/>
        <v>49980.161500000002</v>
      </c>
      <c r="R75" s="16">
        <f t="shared" si="35"/>
        <v>0.83349999999999913</v>
      </c>
      <c r="S75" s="26">
        <f t="shared" si="36"/>
        <v>62128.802142857145</v>
      </c>
      <c r="T75" s="27">
        <f t="shared" si="37"/>
        <v>39</v>
      </c>
      <c r="U75" s="26">
        <f t="shared" si="1"/>
        <v>922.15695192307692</v>
      </c>
      <c r="V75" s="16">
        <f t="shared" si="58"/>
        <v>0.95349999999999913</v>
      </c>
      <c r="W75" s="28">
        <f t="shared" si="2"/>
        <v>511.65</v>
      </c>
      <c r="X75" s="29">
        <f t="shared" si="38"/>
        <v>27</v>
      </c>
      <c r="Y75" s="29">
        <f t="shared" si="39"/>
        <v>52.5</v>
      </c>
      <c r="Z75" s="29">
        <f t="shared" si="40"/>
        <v>79.5</v>
      </c>
      <c r="AA75" s="28">
        <f t="shared" si="41"/>
        <v>432.15</v>
      </c>
      <c r="AB75" s="28">
        <f t="shared" si="42"/>
        <v>127.91249999999999</v>
      </c>
      <c r="AC75" s="28">
        <f t="shared" si="3"/>
        <v>172.08750000000001</v>
      </c>
      <c r="AD75" s="28">
        <f t="shared" si="43"/>
        <v>129.06562500000001</v>
      </c>
      <c r="AE75" s="13">
        <f t="shared" si="4"/>
        <v>129.06562500000001</v>
      </c>
      <c r="AF75" s="13">
        <f t="shared" si="5"/>
        <v>0</v>
      </c>
      <c r="AG75" s="13">
        <f t="shared" si="44"/>
        <v>129.06562500000001</v>
      </c>
      <c r="AH75" s="28">
        <f t="shared" si="6"/>
        <v>231.81</v>
      </c>
      <c r="AI75" s="13">
        <f t="shared" si="7"/>
        <v>125.14999999999998</v>
      </c>
      <c r="AJ75" s="28">
        <f t="shared" si="8"/>
        <v>33.790499999999994</v>
      </c>
      <c r="AK75" s="13">
        <f t="shared" si="45"/>
        <v>198.01949999999999</v>
      </c>
      <c r="AL75" s="47">
        <f t="shared" si="46"/>
        <v>13</v>
      </c>
      <c r="AM75" s="13" t="str">
        <f t="shared" si="47"/>
        <v>N</v>
      </c>
      <c r="AN75" s="13">
        <f t="shared" si="48"/>
        <v>0</v>
      </c>
      <c r="AO75" s="13" t="str">
        <f t="shared" si="49"/>
        <v>N</v>
      </c>
      <c r="AP75" s="13">
        <f t="shared" si="50"/>
        <v>72.5</v>
      </c>
      <c r="AQ75" s="13">
        <f t="shared" si="51"/>
        <v>0</v>
      </c>
      <c r="AR75" s="13">
        <f t="shared" si="52"/>
        <v>0</v>
      </c>
      <c r="AS75" s="9">
        <f t="shared" si="9"/>
        <v>2</v>
      </c>
      <c r="AT75" s="9">
        <f t="shared" si="10"/>
        <v>13</v>
      </c>
      <c r="AU75" s="9">
        <f t="shared" si="11"/>
        <v>0</v>
      </c>
      <c r="AV75" s="13">
        <f t="shared" si="12"/>
        <v>5.69</v>
      </c>
      <c r="AW75" s="13">
        <f t="shared" si="13"/>
        <v>0</v>
      </c>
      <c r="AX75" s="9">
        <f t="shared" si="14"/>
        <v>1</v>
      </c>
      <c r="AY75" s="9">
        <f t="shared" si="15"/>
        <v>0</v>
      </c>
      <c r="AZ75" s="28">
        <f t="shared" si="53"/>
        <v>0</v>
      </c>
      <c r="BA75" s="9">
        <f t="shared" si="16"/>
        <v>1</v>
      </c>
      <c r="BB75" s="9">
        <f t="shared" si="17"/>
        <v>0</v>
      </c>
      <c r="BC75" s="28">
        <f t="shared" si="54"/>
        <v>0</v>
      </c>
      <c r="BD75" s="28">
        <f t="shared" si="55"/>
        <v>0</v>
      </c>
      <c r="BE75" s="13">
        <f t="shared" si="18"/>
        <v>39</v>
      </c>
      <c r="BF75" s="13">
        <f t="shared" si="19"/>
        <v>0</v>
      </c>
      <c r="BG75" s="28">
        <f t="shared" si="56"/>
        <v>39</v>
      </c>
    </row>
    <row r="76" spans="1:59" x14ac:dyDescent="0.2">
      <c r="A76" s="8">
        <f t="shared" si="57"/>
        <v>14</v>
      </c>
      <c r="B76" s="26">
        <f t="shared" si="0"/>
        <v>350</v>
      </c>
      <c r="C76" s="26">
        <f t="shared" si="20"/>
        <v>0</v>
      </c>
      <c r="D76" s="26">
        <f t="shared" si="21"/>
        <v>350</v>
      </c>
      <c r="E76" s="27">
        <f t="shared" si="22"/>
        <v>414.65</v>
      </c>
      <c r="F76" s="26">
        <f t="shared" si="23"/>
        <v>764.65</v>
      </c>
      <c r="G76" s="26">
        <f t="shared" si="24"/>
        <v>39761.799999999996</v>
      </c>
      <c r="H76" s="26">
        <f t="shared" si="25"/>
        <v>6468.3149999999987</v>
      </c>
      <c r="I76" s="26">
        <f t="shared" si="26"/>
        <v>33293.485000000001</v>
      </c>
      <c r="J76" s="26">
        <f t="shared" si="27"/>
        <v>640.25932692307697</v>
      </c>
      <c r="K76" s="26">
        <f t="shared" si="28"/>
        <v>293.06318501677492</v>
      </c>
      <c r="L76" s="26">
        <f t="shared" si="29"/>
        <v>347.19614190630205</v>
      </c>
      <c r="M76" s="26">
        <f t="shared" si="30"/>
        <v>129.06562500000001</v>
      </c>
      <c r="N76" s="27">
        <f t="shared" si="31"/>
        <v>195.99450000000002</v>
      </c>
      <c r="O76" s="27">
        <f t="shared" si="32"/>
        <v>0</v>
      </c>
      <c r="P76" s="26">
        <f t="shared" si="33"/>
        <v>965.31945192307694</v>
      </c>
      <c r="Q76" s="26">
        <f t="shared" si="34"/>
        <v>50196.611499999999</v>
      </c>
      <c r="R76" s="16">
        <f t="shared" si="35"/>
        <v>0.83349999999999913</v>
      </c>
      <c r="S76" s="26">
        <f t="shared" si="36"/>
        <v>62438.016428571427</v>
      </c>
      <c r="T76" s="27">
        <f t="shared" si="37"/>
        <v>42</v>
      </c>
      <c r="U76" s="26">
        <f t="shared" si="1"/>
        <v>923.31945192307694</v>
      </c>
      <c r="V76" s="16">
        <f t="shared" si="58"/>
        <v>0.95349999999999913</v>
      </c>
      <c r="W76" s="28">
        <f t="shared" si="2"/>
        <v>511.65</v>
      </c>
      <c r="X76" s="29">
        <f t="shared" si="38"/>
        <v>27</v>
      </c>
      <c r="Y76" s="29">
        <f t="shared" si="39"/>
        <v>70</v>
      </c>
      <c r="Z76" s="29">
        <f t="shared" si="40"/>
        <v>97</v>
      </c>
      <c r="AA76" s="28">
        <f t="shared" si="41"/>
        <v>414.65</v>
      </c>
      <c r="AB76" s="28">
        <f t="shared" si="42"/>
        <v>127.91249999999999</v>
      </c>
      <c r="AC76" s="28">
        <f t="shared" si="3"/>
        <v>172.08750000000001</v>
      </c>
      <c r="AD76" s="28">
        <f t="shared" si="43"/>
        <v>129.06562500000001</v>
      </c>
      <c r="AE76" s="13">
        <f t="shared" si="4"/>
        <v>129.06562500000001</v>
      </c>
      <c r="AF76" s="13">
        <f t="shared" si="5"/>
        <v>0</v>
      </c>
      <c r="AG76" s="13">
        <f t="shared" si="44"/>
        <v>129.06562500000001</v>
      </c>
      <c r="AH76" s="28">
        <f t="shared" si="6"/>
        <v>231.81</v>
      </c>
      <c r="AI76" s="13">
        <f t="shared" si="7"/>
        <v>132.64999999999998</v>
      </c>
      <c r="AJ76" s="28">
        <f t="shared" si="8"/>
        <v>35.815499999999993</v>
      </c>
      <c r="AK76" s="13">
        <f t="shared" si="45"/>
        <v>195.99450000000002</v>
      </c>
      <c r="AL76" s="47">
        <f t="shared" si="46"/>
        <v>14</v>
      </c>
      <c r="AM76" s="13" t="str">
        <f t="shared" si="47"/>
        <v>N</v>
      </c>
      <c r="AN76" s="13">
        <f t="shared" si="48"/>
        <v>0</v>
      </c>
      <c r="AO76" s="13" t="str">
        <f t="shared" si="49"/>
        <v>N</v>
      </c>
      <c r="AP76" s="13">
        <f t="shared" si="50"/>
        <v>72.5</v>
      </c>
      <c r="AQ76" s="13">
        <f t="shared" si="51"/>
        <v>0</v>
      </c>
      <c r="AR76" s="13">
        <f t="shared" si="52"/>
        <v>0</v>
      </c>
      <c r="AS76" s="9">
        <f t="shared" si="9"/>
        <v>2</v>
      </c>
      <c r="AT76" s="9">
        <f t="shared" si="10"/>
        <v>14</v>
      </c>
      <c r="AU76" s="9">
        <f t="shared" si="11"/>
        <v>0</v>
      </c>
      <c r="AV76" s="13">
        <f t="shared" si="12"/>
        <v>5.69</v>
      </c>
      <c r="AW76" s="13">
        <f t="shared" si="13"/>
        <v>0</v>
      </c>
      <c r="AX76" s="9">
        <f t="shared" si="14"/>
        <v>1</v>
      </c>
      <c r="AY76" s="9">
        <f t="shared" si="15"/>
        <v>0</v>
      </c>
      <c r="AZ76" s="28">
        <f t="shared" si="53"/>
        <v>0</v>
      </c>
      <c r="BA76" s="9">
        <f t="shared" si="16"/>
        <v>1</v>
      </c>
      <c r="BB76" s="9">
        <f t="shared" si="17"/>
        <v>0</v>
      </c>
      <c r="BC76" s="28">
        <f t="shared" si="54"/>
        <v>0</v>
      </c>
      <c r="BD76" s="28">
        <f t="shared" si="55"/>
        <v>0</v>
      </c>
      <c r="BE76" s="13">
        <f t="shared" si="18"/>
        <v>42</v>
      </c>
      <c r="BF76" s="13">
        <f t="shared" si="19"/>
        <v>0</v>
      </c>
      <c r="BG76" s="28">
        <f t="shared" si="56"/>
        <v>42</v>
      </c>
    </row>
    <row r="77" spans="1:59" x14ac:dyDescent="0.2">
      <c r="A77" s="8">
        <f t="shared" si="57"/>
        <v>15</v>
      </c>
      <c r="B77" s="26">
        <f t="shared" si="0"/>
        <v>375</v>
      </c>
      <c r="C77" s="26">
        <f t="shared" si="20"/>
        <v>0</v>
      </c>
      <c r="D77" s="26">
        <f t="shared" si="21"/>
        <v>375</v>
      </c>
      <c r="E77" s="27">
        <f t="shared" si="22"/>
        <v>397.15</v>
      </c>
      <c r="F77" s="26">
        <f t="shared" si="23"/>
        <v>772.15</v>
      </c>
      <c r="G77" s="26">
        <f t="shared" si="24"/>
        <v>40151.799999999996</v>
      </c>
      <c r="H77" s="26">
        <f t="shared" si="25"/>
        <v>6536.5649999999987</v>
      </c>
      <c r="I77" s="26">
        <f t="shared" si="26"/>
        <v>33615.235000000001</v>
      </c>
      <c r="J77" s="26">
        <f t="shared" si="27"/>
        <v>646.44682692307697</v>
      </c>
      <c r="K77" s="26">
        <f t="shared" si="28"/>
        <v>313.95138262792705</v>
      </c>
      <c r="L77" s="26">
        <f t="shared" si="29"/>
        <v>332.49544429514992</v>
      </c>
      <c r="M77" s="26">
        <f t="shared" si="30"/>
        <v>129.06562500000001</v>
      </c>
      <c r="N77" s="27">
        <f t="shared" si="31"/>
        <v>193.96950000000001</v>
      </c>
      <c r="O77" s="27">
        <f t="shared" si="32"/>
        <v>0</v>
      </c>
      <c r="P77" s="26">
        <f t="shared" si="33"/>
        <v>969.48195192307696</v>
      </c>
      <c r="Q77" s="26">
        <f t="shared" si="34"/>
        <v>50413.061500000003</v>
      </c>
      <c r="R77" s="16">
        <f t="shared" si="35"/>
        <v>0.83349999999999913</v>
      </c>
      <c r="S77" s="26">
        <f t="shared" si="36"/>
        <v>62747.230714285717</v>
      </c>
      <c r="T77" s="27">
        <f t="shared" si="37"/>
        <v>45</v>
      </c>
      <c r="U77" s="26">
        <f t="shared" si="1"/>
        <v>924.48195192307696</v>
      </c>
      <c r="V77" s="16">
        <f t="shared" si="58"/>
        <v>0.95349999999999913</v>
      </c>
      <c r="W77" s="28">
        <f t="shared" si="2"/>
        <v>511.65</v>
      </c>
      <c r="X77" s="29">
        <f t="shared" si="38"/>
        <v>27</v>
      </c>
      <c r="Y77" s="29">
        <f t="shared" si="39"/>
        <v>87.5</v>
      </c>
      <c r="Z77" s="29">
        <f t="shared" si="40"/>
        <v>114.5</v>
      </c>
      <c r="AA77" s="28">
        <f t="shared" si="41"/>
        <v>397.15</v>
      </c>
      <c r="AB77" s="28">
        <f t="shared" si="42"/>
        <v>127.91249999999999</v>
      </c>
      <c r="AC77" s="28">
        <f t="shared" si="3"/>
        <v>172.08750000000001</v>
      </c>
      <c r="AD77" s="28">
        <f t="shared" si="43"/>
        <v>129.06562500000001</v>
      </c>
      <c r="AE77" s="13">
        <f t="shared" si="4"/>
        <v>129.06562500000001</v>
      </c>
      <c r="AF77" s="13">
        <f t="shared" si="5"/>
        <v>0</v>
      </c>
      <c r="AG77" s="13">
        <f t="shared" si="44"/>
        <v>129.06562500000001</v>
      </c>
      <c r="AH77" s="28">
        <f t="shared" si="6"/>
        <v>231.81</v>
      </c>
      <c r="AI77" s="13">
        <f t="shared" si="7"/>
        <v>140.14999999999998</v>
      </c>
      <c r="AJ77" s="28">
        <f t="shared" si="8"/>
        <v>37.840499999999999</v>
      </c>
      <c r="AK77" s="13">
        <f t="shared" si="45"/>
        <v>193.96950000000001</v>
      </c>
      <c r="AL77" s="47">
        <f t="shared" si="46"/>
        <v>15</v>
      </c>
      <c r="AM77" s="13" t="str">
        <f t="shared" si="47"/>
        <v>N</v>
      </c>
      <c r="AN77" s="13">
        <f t="shared" si="48"/>
        <v>0</v>
      </c>
      <c r="AO77" s="13" t="str">
        <f t="shared" si="49"/>
        <v>N</v>
      </c>
      <c r="AP77" s="13">
        <f t="shared" si="50"/>
        <v>72.5</v>
      </c>
      <c r="AQ77" s="13">
        <f t="shared" si="51"/>
        <v>0</v>
      </c>
      <c r="AR77" s="13">
        <f t="shared" si="52"/>
        <v>0</v>
      </c>
      <c r="AS77" s="9">
        <f t="shared" si="9"/>
        <v>2</v>
      </c>
      <c r="AT77" s="9">
        <f t="shared" si="10"/>
        <v>15</v>
      </c>
      <c r="AU77" s="9">
        <f t="shared" si="11"/>
        <v>0</v>
      </c>
      <c r="AV77" s="13">
        <f t="shared" si="12"/>
        <v>5.69</v>
      </c>
      <c r="AW77" s="13">
        <f t="shared" si="13"/>
        <v>0</v>
      </c>
      <c r="AX77" s="9">
        <f t="shared" si="14"/>
        <v>1</v>
      </c>
      <c r="AY77" s="9">
        <f t="shared" si="15"/>
        <v>0</v>
      </c>
      <c r="AZ77" s="28">
        <f t="shared" si="53"/>
        <v>0</v>
      </c>
      <c r="BA77" s="9">
        <f t="shared" si="16"/>
        <v>1</v>
      </c>
      <c r="BB77" s="9">
        <f t="shared" si="17"/>
        <v>0</v>
      </c>
      <c r="BC77" s="28">
        <f t="shared" si="54"/>
        <v>0</v>
      </c>
      <c r="BD77" s="28">
        <f t="shared" si="55"/>
        <v>0</v>
      </c>
      <c r="BE77" s="13">
        <f t="shared" si="18"/>
        <v>45</v>
      </c>
      <c r="BF77" s="13">
        <f t="shared" si="19"/>
        <v>0</v>
      </c>
      <c r="BG77" s="28">
        <f t="shared" si="56"/>
        <v>45</v>
      </c>
    </row>
    <row r="78" spans="1:59" x14ac:dyDescent="0.2">
      <c r="A78" s="8">
        <f t="shared" si="57"/>
        <v>16</v>
      </c>
      <c r="B78" s="26">
        <f t="shared" si="0"/>
        <v>400</v>
      </c>
      <c r="C78" s="26">
        <f t="shared" si="20"/>
        <v>0</v>
      </c>
      <c r="D78" s="26">
        <f t="shared" si="21"/>
        <v>400</v>
      </c>
      <c r="E78" s="27">
        <f t="shared" si="22"/>
        <v>379.65</v>
      </c>
      <c r="F78" s="26">
        <f t="shared" si="23"/>
        <v>779.65</v>
      </c>
      <c r="G78" s="26">
        <f t="shared" si="24"/>
        <v>40541.799999999996</v>
      </c>
      <c r="H78" s="26">
        <f t="shared" si="25"/>
        <v>6604.8149999999987</v>
      </c>
      <c r="I78" s="26">
        <f t="shared" si="26"/>
        <v>33936.985000000001</v>
      </c>
      <c r="J78" s="26">
        <f t="shared" si="27"/>
        <v>652.63432692307697</v>
      </c>
      <c r="K78" s="26">
        <f t="shared" si="28"/>
        <v>334.83451647435493</v>
      </c>
      <c r="L78" s="26">
        <f t="shared" si="29"/>
        <v>317.7998104487221</v>
      </c>
      <c r="M78" s="26">
        <f t="shared" si="30"/>
        <v>129.06562500000001</v>
      </c>
      <c r="N78" s="27">
        <f t="shared" si="31"/>
        <v>191.94450000000001</v>
      </c>
      <c r="O78" s="27">
        <f t="shared" si="32"/>
        <v>0</v>
      </c>
      <c r="P78" s="26">
        <f t="shared" si="33"/>
        <v>973.64445192307699</v>
      </c>
      <c r="Q78" s="26">
        <f t="shared" si="34"/>
        <v>50629.511500000001</v>
      </c>
      <c r="R78" s="16">
        <f t="shared" si="35"/>
        <v>0.83349999999999913</v>
      </c>
      <c r="S78" s="26">
        <f t="shared" si="36"/>
        <v>63056.445</v>
      </c>
      <c r="T78" s="27">
        <f t="shared" si="37"/>
        <v>48</v>
      </c>
      <c r="U78" s="26">
        <f t="shared" si="1"/>
        <v>925.64445192307699</v>
      </c>
      <c r="V78" s="16">
        <f t="shared" si="58"/>
        <v>0.95349999999999913</v>
      </c>
      <c r="W78" s="28">
        <f t="shared" si="2"/>
        <v>511.65</v>
      </c>
      <c r="X78" s="29">
        <f t="shared" si="38"/>
        <v>27</v>
      </c>
      <c r="Y78" s="29">
        <f t="shared" si="39"/>
        <v>105</v>
      </c>
      <c r="Z78" s="29">
        <f t="shared" si="40"/>
        <v>132</v>
      </c>
      <c r="AA78" s="28">
        <f t="shared" si="41"/>
        <v>379.65</v>
      </c>
      <c r="AB78" s="28">
        <f t="shared" si="42"/>
        <v>127.91249999999999</v>
      </c>
      <c r="AC78" s="28">
        <f t="shared" si="3"/>
        <v>172.08750000000001</v>
      </c>
      <c r="AD78" s="28">
        <f t="shared" si="43"/>
        <v>129.06562500000001</v>
      </c>
      <c r="AE78" s="13">
        <f t="shared" si="4"/>
        <v>129.06562500000001</v>
      </c>
      <c r="AF78" s="13">
        <f t="shared" si="5"/>
        <v>0</v>
      </c>
      <c r="AG78" s="13">
        <f t="shared" si="44"/>
        <v>129.06562500000001</v>
      </c>
      <c r="AH78" s="28">
        <f t="shared" si="6"/>
        <v>231.81</v>
      </c>
      <c r="AI78" s="13">
        <f t="shared" si="7"/>
        <v>147.64999999999998</v>
      </c>
      <c r="AJ78" s="28">
        <f t="shared" si="8"/>
        <v>39.865499999999997</v>
      </c>
      <c r="AK78" s="13">
        <f t="shared" si="45"/>
        <v>191.94450000000001</v>
      </c>
      <c r="AL78" s="47">
        <f t="shared" si="46"/>
        <v>16</v>
      </c>
      <c r="AM78" s="13" t="str">
        <f t="shared" si="47"/>
        <v>N</v>
      </c>
      <c r="AN78" s="13">
        <f t="shared" si="48"/>
        <v>0</v>
      </c>
      <c r="AO78" s="13" t="str">
        <f t="shared" si="49"/>
        <v>N</v>
      </c>
      <c r="AP78" s="13">
        <f t="shared" si="50"/>
        <v>72.5</v>
      </c>
      <c r="AQ78" s="13">
        <f t="shared" si="51"/>
        <v>0</v>
      </c>
      <c r="AR78" s="13">
        <f t="shared" si="52"/>
        <v>0</v>
      </c>
      <c r="AS78" s="9">
        <f t="shared" si="9"/>
        <v>2</v>
      </c>
      <c r="AT78" s="9">
        <f t="shared" si="10"/>
        <v>16</v>
      </c>
      <c r="AU78" s="9">
        <f t="shared" si="11"/>
        <v>0</v>
      </c>
      <c r="AV78" s="13">
        <f t="shared" si="12"/>
        <v>5.69</v>
      </c>
      <c r="AW78" s="13">
        <f t="shared" si="13"/>
        <v>0</v>
      </c>
      <c r="AX78" s="9">
        <f t="shared" si="14"/>
        <v>1</v>
      </c>
      <c r="AY78" s="9">
        <f t="shared" si="15"/>
        <v>0</v>
      </c>
      <c r="AZ78" s="28">
        <f t="shared" si="53"/>
        <v>0</v>
      </c>
      <c r="BA78" s="9">
        <f t="shared" si="16"/>
        <v>1</v>
      </c>
      <c r="BB78" s="9">
        <f t="shared" si="17"/>
        <v>0</v>
      </c>
      <c r="BC78" s="28">
        <f t="shared" si="54"/>
        <v>0</v>
      </c>
      <c r="BD78" s="28">
        <f t="shared" si="55"/>
        <v>0</v>
      </c>
      <c r="BE78" s="13">
        <f t="shared" si="18"/>
        <v>48</v>
      </c>
      <c r="BF78" s="13">
        <f t="shared" si="19"/>
        <v>0</v>
      </c>
      <c r="BG78" s="28">
        <f t="shared" si="56"/>
        <v>48</v>
      </c>
    </row>
    <row r="79" spans="1:59" x14ac:dyDescent="0.2">
      <c r="A79" s="8">
        <f t="shared" si="57"/>
        <v>17</v>
      </c>
      <c r="B79" s="26">
        <f t="shared" si="0"/>
        <v>425</v>
      </c>
      <c r="C79" s="26">
        <f t="shared" si="20"/>
        <v>0</v>
      </c>
      <c r="D79" s="26">
        <f t="shared" si="21"/>
        <v>425</v>
      </c>
      <c r="E79" s="27">
        <f t="shared" si="22"/>
        <v>362.15</v>
      </c>
      <c r="F79" s="26">
        <f t="shared" si="23"/>
        <v>787.15</v>
      </c>
      <c r="G79" s="26">
        <f t="shared" si="24"/>
        <v>40931.799999999996</v>
      </c>
      <c r="H79" s="26">
        <f t="shared" si="25"/>
        <v>6673.0649999999987</v>
      </c>
      <c r="I79" s="26">
        <f t="shared" si="26"/>
        <v>34258.735000000001</v>
      </c>
      <c r="J79" s="26">
        <f t="shared" si="27"/>
        <v>658.82182692307697</v>
      </c>
      <c r="K79" s="26">
        <f t="shared" si="28"/>
        <v>355.71273129938095</v>
      </c>
      <c r="L79" s="26">
        <f t="shared" si="29"/>
        <v>303.10909562369602</v>
      </c>
      <c r="M79" s="26">
        <f t="shared" si="30"/>
        <v>129.06562500000001</v>
      </c>
      <c r="N79" s="27">
        <f t="shared" si="31"/>
        <v>189.9195</v>
      </c>
      <c r="O79" s="27">
        <f t="shared" si="32"/>
        <v>0</v>
      </c>
      <c r="P79" s="26">
        <f t="shared" si="33"/>
        <v>977.80695192307689</v>
      </c>
      <c r="Q79" s="26">
        <f t="shared" si="34"/>
        <v>50845.961499999998</v>
      </c>
      <c r="R79" s="16">
        <f t="shared" si="35"/>
        <v>0.83350000000000368</v>
      </c>
      <c r="S79" s="26">
        <f t="shared" si="36"/>
        <v>63365.659285714282</v>
      </c>
      <c r="T79" s="27">
        <f t="shared" si="37"/>
        <v>51</v>
      </c>
      <c r="U79" s="26">
        <f t="shared" si="1"/>
        <v>926.80695192307689</v>
      </c>
      <c r="V79" s="16">
        <f t="shared" si="58"/>
        <v>0.95350000000000368</v>
      </c>
      <c r="W79" s="28">
        <f t="shared" si="2"/>
        <v>511.65</v>
      </c>
      <c r="X79" s="29">
        <f t="shared" si="38"/>
        <v>27</v>
      </c>
      <c r="Y79" s="29">
        <f t="shared" si="39"/>
        <v>122.49999999999999</v>
      </c>
      <c r="Z79" s="29">
        <f t="shared" si="40"/>
        <v>149.5</v>
      </c>
      <c r="AA79" s="28">
        <f t="shared" si="41"/>
        <v>362.15</v>
      </c>
      <c r="AB79" s="28">
        <f t="shared" si="42"/>
        <v>127.91249999999999</v>
      </c>
      <c r="AC79" s="28">
        <f t="shared" si="3"/>
        <v>172.08750000000001</v>
      </c>
      <c r="AD79" s="28">
        <f t="shared" si="43"/>
        <v>129.06562500000001</v>
      </c>
      <c r="AE79" s="13">
        <f t="shared" si="4"/>
        <v>129.06562500000001</v>
      </c>
      <c r="AF79" s="13">
        <f t="shared" si="5"/>
        <v>0</v>
      </c>
      <c r="AG79" s="13">
        <f t="shared" si="44"/>
        <v>129.06562500000001</v>
      </c>
      <c r="AH79" s="28">
        <f t="shared" si="6"/>
        <v>231.81</v>
      </c>
      <c r="AI79" s="13">
        <f t="shared" si="7"/>
        <v>155.14999999999998</v>
      </c>
      <c r="AJ79" s="28">
        <f t="shared" si="8"/>
        <v>41.890499999999996</v>
      </c>
      <c r="AK79" s="13">
        <f t="shared" si="45"/>
        <v>189.9195</v>
      </c>
      <c r="AL79" s="47">
        <f t="shared" si="46"/>
        <v>17</v>
      </c>
      <c r="AM79" s="13" t="str">
        <f t="shared" si="47"/>
        <v>N</v>
      </c>
      <c r="AN79" s="13">
        <f t="shared" si="48"/>
        <v>0</v>
      </c>
      <c r="AO79" s="13" t="str">
        <f t="shared" si="49"/>
        <v>N</v>
      </c>
      <c r="AP79" s="13">
        <f t="shared" si="50"/>
        <v>72.5</v>
      </c>
      <c r="AQ79" s="13">
        <f t="shared" si="51"/>
        <v>0</v>
      </c>
      <c r="AR79" s="13">
        <f t="shared" si="52"/>
        <v>0</v>
      </c>
      <c r="AS79" s="9">
        <f t="shared" si="9"/>
        <v>2</v>
      </c>
      <c r="AT79" s="9">
        <f t="shared" si="10"/>
        <v>17</v>
      </c>
      <c r="AU79" s="9">
        <f t="shared" si="11"/>
        <v>0</v>
      </c>
      <c r="AV79" s="13">
        <f t="shared" si="12"/>
        <v>5.69</v>
      </c>
      <c r="AW79" s="13">
        <f t="shared" si="13"/>
        <v>0</v>
      </c>
      <c r="AX79" s="9">
        <f t="shared" si="14"/>
        <v>1</v>
      </c>
      <c r="AY79" s="9">
        <f t="shared" si="15"/>
        <v>0</v>
      </c>
      <c r="AZ79" s="28">
        <f t="shared" si="53"/>
        <v>0</v>
      </c>
      <c r="BA79" s="9">
        <f t="shared" si="16"/>
        <v>1</v>
      </c>
      <c r="BB79" s="9">
        <f t="shared" si="17"/>
        <v>0</v>
      </c>
      <c r="BC79" s="28">
        <f t="shared" si="54"/>
        <v>0</v>
      </c>
      <c r="BD79" s="28">
        <f t="shared" si="55"/>
        <v>0</v>
      </c>
      <c r="BE79" s="13">
        <f t="shared" si="18"/>
        <v>51</v>
      </c>
      <c r="BF79" s="13">
        <f t="shared" si="19"/>
        <v>0</v>
      </c>
      <c r="BG79" s="28">
        <f t="shared" si="56"/>
        <v>51</v>
      </c>
    </row>
    <row r="80" spans="1:59" x14ac:dyDescent="0.2">
      <c r="A80" s="8">
        <f t="shared" si="57"/>
        <v>18</v>
      </c>
      <c r="B80" s="26">
        <f t="shared" si="0"/>
        <v>450</v>
      </c>
      <c r="C80" s="26">
        <f t="shared" si="20"/>
        <v>0</v>
      </c>
      <c r="D80" s="26">
        <f t="shared" si="21"/>
        <v>450</v>
      </c>
      <c r="E80" s="27">
        <f t="shared" si="22"/>
        <v>344.65</v>
      </c>
      <c r="F80" s="26">
        <f t="shared" si="23"/>
        <v>794.65</v>
      </c>
      <c r="G80" s="26">
        <f t="shared" si="24"/>
        <v>41321.799999999996</v>
      </c>
      <c r="H80" s="26">
        <f t="shared" si="25"/>
        <v>6741.3149999999987</v>
      </c>
      <c r="I80" s="26">
        <f t="shared" si="26"/>
        <v>34580.485000000001</v>
      </c>
      <c r="J80" s="26">
        <f t="shared" si="27"/>
        <v>665.00932692307697</v>
      </c>
      <c r="K80" s="26">
        <f t="shared" si="28"/>
        <v>376.58616638190983</v>
      </c>
      <c r="L80" s="26">
        <f t="shared" si="29"/>
        <v>288.42316054116714</v>
      </c>
      <c r="M80" s="26">
        <f t="shared" si="30"/>
        <v>129.06562500000001</v>
      </c>
      <c r="N80" s="27">
        <f t="shared" si="31"/>
        <v>187.89449999999999</v>
      </c>
      <c r="O80" s="27">
        <f t="shared" si="32"/>
        <v>0</v>
      </c>
      <c r="P80" s="26">
        <f t="shared" si="33"/>
        <v>981.96945192307692</v>
      </c>
      <c r="Q80" s="26">
        <f t="shared" si="34"/>
        <v>51062.411500000002</v>
      </c>
      <c r="R80" s="16">
        <f t="shared" si="35"/>
        <v>0.83349999999999913</v>
      </c>
      <c r="S80" s="26">
        <f t="shared" si="36"/>
        <v>63674.873571428572</v>
      </c>
      <c r="T80" s="27">
        <f t="shared" si="37"/>
        <v>54</v>
      </c>
      <c r="U80" s="26">
        <f t="shared" si="1"/>
        <v>927.96945192307692</v>
      </c>
      <c r="V80" s="16">
        <f t="shared" si="58"/>
        <v>0.95349999999999913</v>
      </c>
      <c r="W80" s="28">
        <f t="shared" si="2"/>
        <v>511.65</v>
      </c>
      <c r="X80" s="29">
        <f t="shared" si="38"/>
        <v>27</v>
      </c>
      <c r="Y80" s="29">
        <f t="shared" si="39"/>
        <v>140</v>
      </c>
      <c r="Z80" s="29">
        <f t="shared" si="40"/>
        <v>167</v>
      </c>
      <c r="AA80" s="28">
        <f t="shared" si="41"/>
        <v>344.65</v>
      </c>
      <c r="AB80" s="28">
        <f t="shared" si="42"/>
        <v>127.91249999999999</v>
      </c>
      <c r="AC80" s="28">
        <f t="shared" si="3"/>
        <v>172.08750000000001</v>
      </c>
      <c r="AD80" s="28">
        <f t="shared" si="43"/>
        <v>129.06562500000001</v>
      </c>
      <c r="AE80" s="13">
        <f t="shared" si="4"/>
        <v>129.06562500000001</v>
      </c>
      <c r="AF80" s="13">
        <f t="shared" si="5"/>
        <v>0</v>
      </c>
      <c r="AG80" s="13">
        <f t="shared" si="44"/>
        <v>129.06562500000001</v>
      </c>
      <c r="AH80" s="28">
        <f t="shared" si="6"/>
        <v>231.81</v>
      </c>
      <c r="AI80" s="13">
        <f t="shared" si="7"/>
        <v>162.64999999999998</v>
      </c>
      <c r="AJ80" s="28">
        <f t="shared" si="8"/>
        <v>43.915499999999994</v>
      </c>
      <c r="AK80" s="13">
        <f t="shared" si="45"/>
        <v>187.89449999999999</v>
      </c>
      <c r="AL80" s="47">
        <f t="shared" si="46"/>
        <v>18</v>
      </c>
      <c r="AM80" s="13" t="str">
        <f t="shared" si="47"/>
        <v>N</v>
      </c>
      <c r="AN80" s="13">
        <f t="shared" si="48"/>
        <v>0</v>
      </c>
      <c r="AO80" s="13" t="str">
        <f t="shared" si="49"/>
        <v>N</v>
      </c>
      <c r="AP80" s="13">
        <f t="shared" si="50"/>
        <v>72.5</v>
      </c>
      <c r="AQ80" s="13">
        <f t="shared" si="51"/>
        <v>0</v>
      </c>
      <c r="AR80" s="13">
        <f t="shared" si="52"/>
        <v>0</v>
      </c>
      <c r="AS80" s="9">
        <f t="shared" si="9"/>
        <v>2</v>
      </c>
      <c r="AT80" s="9">
        <f t="shared" si="10"/>
        <v>18</v>
      </c>
      <c r="AU80" s="9">
        <f t="shared" si="11"/>
        <v>0</v>
      </c>
      <c r="AV80" s="13">
        <f t="shared" si="12"/>
        <v>5.69</v>
      </c>
      <c r="AW80" s="13">
        <f t="shared" si="13"/>
        <v>0</v>
      </c>
      <c r="AX80" s="9">
        <f t="shared" si="14"/>
        <v>1</v>
      </c>
      <c r="AY80" s="9">
        <f t="shared" si="15"/>
        <v>0</v>
      </c>
      <c r="AZ80" s="28">
        <f t="shared" si="53"/>
        <v>0</v>
      </c>
      <c r="BA80" s="9">
        <f t="shared" si="16"/>
        <v>1</v>
      </c>
      <c r="BB80" s="9">
        <f t="shared" si="17"/>
        <v>0</v>
      </c>
      <c r="BC80" s="28">
        <f t="shared" si="54"/>
        <v>0</v>
      </c>
      <c r="BD80" s="28">
        <f t="shared" si="55"/>
        <v>0</v>
      </c>
      <c r="BE80" s="13">
        <f t="shared" si="18"/>
        <v>54</v>
      </c>
      <c r="BF80" s="13">
        <f t="shared" si="19"/>
        <v>0</v>
      </c>
      <c r="BG80" s="28">
        <f t="shared" si="56"/>
        <v>54</v>
      </c>
    </row>
    <row r="81" spans="1:59" x14ac:dyDescent="0.2">
      <c r="A81" s="8">
        <f t="shared" si="57"/>
        <v>19</v>
      </c>
      <c r="B81" s="26">
        <f t="shared" si="0"/>
        <v>475</v>
      </c>
      <c r="C81" s="26">
        <f t="shared" si="20"/>
        <v>0</v>
      </c>
      <c r="D81" s="26">
        <f t="shared" si="21"/>
        <v>475</v>
      </c>
      <c r="E81" s="27">
        <f t="shared" si="22"/>
        <v>327.14999999999998</v>
      </c>
      <c r="F81" s="26">
        <f t="shared" si="23"/>
        <v>802.15</v>
      </c>
      <c r="G81" s="26">
        <f t="shared" si="24"/>
        <v>41711.799999999996</v>
      </c>
      <c r="H81" s="26">
        <f t="shared" si="25"/>
        <v>6809.5649999999987</v>
      </c>
      <c r="I81" s="26">
        <f t="shared" si="26"/>
        <v>34902.235000000001</v>
      </c>
      <c r="J81" s="26">
        <f t="shared" si="27"/>
        <v>671.19682692307697</v>
      </c>
      <c r="K81" s="26">
        <f t="shared" si="28"/>
        <v>397.45495579188628</v>
      </c>
      <c r="L81" s="26">
        <f t="shared" si="29"/>
        <v>273.74187113119069</v>
      </c>
      <c r="M81" s="26">
        <f t="shared" si="30"/>
        <v>129.06562500000001</v>
      </c>
      <c r="N81" s="27">
        <f t="shared" si="31"/>
        <v>185.86950000000002</v>
      </c>
      <c r="O81" s="27">
        <f t="shared" si="32"/>
        <v>0</v>
      </c>
      <c r="P81" s="26">
        <f t="shared" si="33"/>
        <v>986.13195192307694</v>
      </c>
      <c r="Q81" s="26">
        <f t="shared" si="34"/>
        <v>51278.861499999999</v>
      </c>
      <c r="R81" s="16">
        <f t="shared" si="35"/>
        <v>0.83349999999999913</v>
      </c>
      <c r="S81" s="26">
        <f t="shared" si="36"/>
        <v>63984.087857142855</v>
      </c>
      <c r="T81" s="27">
        <f t="shared" si="37"/>
        <v>57</v>
      </c>
      <c r="U81" s="26">
        <f t="shared" si="1"/>
        <v>929.13195192307694</v>
      </c>
      <c r="V81" s="16">
        <f t="shared" si="58"/>
        <v>0.95349999999999913</v>
      </c>
      <c r="W81" s="28">
        <f t="shared" si="2"/>
        <v>511.65</v>
      </c>
      <c r="X81" s="29">
        <f t="shared" si="38"/>
        <v>27</v>
      </c>
      <c r="Y81" s="29">
        <f t="shared" si="39"/>
        <v>157.5</v>
      </c>
      <c r="Z81" s="29">
        <f t="shared" si="40"/>
        <v>184.5</v>
      </c>
      <c r="AA81" s="28">
        <f t="shared" si="41"/>
        <v>327.14999999999998</v>
      </c>
      <c r="AB81" s="28">
        <f t="shared" si="42"/>
        <v>127.91249999999999</v>
      </c>
      <c r="AC81" s="28">
        <f t="shared" si="3"/>
        <v>172.08750000000001</v>
      </c>
      <c r="AD81" s="28">
        <f t="shared" si="43"/>
        <v>129.06562500000001</v>
      </c>
      <c r="AE81" s="13">
        <f t="shared" si="4"/>
        <v>129.06562500000001</v>
      </c>
      <c r="AF81" s="13">
        <f t="shared" si="5"/>
        <v>0</v>
      </c>
      <c r="AG81" s="13">
        <f t="shared" si="44"/>
        <v>129.06562500000001</v>
      </c>
      <c r="AH81" s="28">
        <f t="shared" si="6"/>
        <v>231.81</v>
      </c>
      <c r="AI81" s="13">
        <f t="shared" si="7"/>
        <v>170.14999999999998</v>
      </c>
      <c r="AJ81" s="28">
        <f t="shared" si="8"/>
        <v>45.9405</v>
      </c>
      <c r="AK81" s="13">
        <f t="shared" si="45"/>
        <v>185.86950000000002</v>
      </c>
      <c r="AL81" s="47">
        <f t="shared" si="46"/>
        <v>19</v>
      </c>
      <c r="AM81" s="13" t="str">
        <f t="shared" si="47"/>
        <v>N</v>
      </c>
      <c r="AN81" s="13">
        <f t="shared" si="48"/>
        <v>0</v>
      </c>
      <c r="AO81" s="13" t="str">
        <f t="shared" si="49"/>
        <v>N</v>
      </c>
      <c r="AP81" s="13">
        <f t="shared" si="50"/>
        <v>72.5</v>
      </c>
      <c r="AQ81" s="13">
        <f t="shared" si="51"/>
        <v>0</v>
      </c>
      <c r="AR81" s="13">
        <f t="shared" si="52"/>
        <v>0</v>
      </c>
      <c r="AS81" s="9">
        <f t="shared" si="9"/>
        <v>2</v>
      </c>
      <c r="AT81" s="9">
        <f t="shared" si="10"/>
        <v>19</v>
      </c>
      <c r="AU81" s="9">
        <f t="shared" si="11"/>
        <v>0</v>
      </c>
      <c r="AV81" s="13">
        <f t="shared" si="12"/>
        <v>5.69</v>
      </c>
      <c r="AW81" s="13">
        <f t="shared" si="13"/>
        <v>0</v>
      </c>
      <c r="AX81" s="9">
        <f t="shared" si="14"/>
        <v>1</v>
      </c>
      <c r="AY81" s="9">
        <f t="shared" si="15"/>
        <v>0</v>
      </c>
      <c r="AZ81" s="28">
        <f t="shared" si="53"/>
        <v>0</v>
      </c>
      <c r="BA81" s="9">
        <f t="shared" si="16"/>
        <v>1</v>
      </c>
      <c r="BB81" s="9">
        <f t="shared" si="17"/>
        <v>0</v>
      </c>
      <c r="BC81" s="28">
        <f t="shared" si="54"/>
        <v>0</v>
      </c>
      <c r="BD81" s="28">
        <f t="shared" si="55"/>
        <v>0</v>
      </c>
      <c r="BE81" s="13">
        <f t="shared" si="18"/>
        <v>57</v>
      </c>
      <c r="BF81" s="13">
        <f t="shared" si="19"/>
        <v>0</v>
      </c>
      <c r="BG81" s="28">
        <f t="shared" si="56"/>
        <v>57</v>
      </c>
    </row>
    <row r="82" spans="1:59" x14ac:dyDescent="0.2">
      <c r="A82" s="8">
        <f t="shared" si="57"/>
        <v>20</v>
      </c>
      <c r="B82" s="26">
        <f t="shared" si="0"/>
        <v>500</v>
      </c>
      <c r="C82" s="26">
        <f t="shared" si="20"/>
        <v>0</v>
      </c>
      <c r="D82" s="26">
        <f t="shared" si="21"/>
        <v>500</v>
      </c>
      <c r="E82" s="27">
        <f t="shared" si="22"/>
        <v>309.64999999999998</v>
      </c>
      <c r="F82" s="26">
        <f t="shared" si="23"/>
        <v>809.65</v>
      </c>
      <c r="G82" s="26">
        <f t="shared" si="24"/>
        <v>42101.799999999996</v>
      </c>
      <c r="H82" s="26">
        <f t="shared" si="25"/>
        <v>6877.8149999999987</v>
      </c>
      <c r="I82" s="26">
        <f t="shared" si="26"/>
        <v>35223.985000000001</v>
      </c>
      <c r="J82" s="26">
        <f t="shared" si="27"/>
        <v>677.38432692307697</v>
      </c>
      <c r="K82" s="26">
        <f t="shared" si="28"/>
        <v>418.31922863155501</v>
      </c>
      <c r="L82" s="26">
        <f t="shared" si="29"/>
        <v>259.06509829152202</v>
      </c>
      <c r="M82" s="26">
        <f t="shared" si="30"/>
        <v>129.06562500000001</v>
      </c>
      <c r="N82" s="27">
        <f t="shared" si="31"/>
        <v>183.84450000000001</v>
      </c>
      <c r="O82" s="27">
        <f t="shared" si="32"/>
        <v>0</v>
      </c>
      <c r="P82" s="26">
        <f t="shared" si="33"/>
        <v>990.29445192307696</v>
      </c>
      <c r="Q82" s="26">
        <f t="shared" si="34"/>
        <v>51495.311500000003</v>
      </c>
      <c r="R82" s="16">
        <f t="shared" si="35"/>
        <v>0.83349999999999913</v>
      </c>
      <c r="S82" s="26">
        <f t="shared" si="36"/>
        <v>64293.302142857152</v>
      </c>
      <c r="T82" s="27">
        <f t="shared" si="37"/>
        <v>60</v>
      </c>
      <c r="U82" s="26">
        <f t="shared" si="1"/>
        <v>930.29445192307696</v>
      </c>
      <c r="V82" s="16">
        <f t="shared" si="58"/>
        <v>0.95349999999999913</v>
      </c>
      <c r="W82" s="28">
        <f t="shared" si="2"/>
        <v>511.65</v>
      </c>
      <c r="X82" s="29">
        <f t="shared" si="38"/>
        <v>27</v>
      </c>
      <c r="Y82" s="29">
        <f t="shared" si="39"/>
        <v>175</v>
      </c>
      <c r="Z82" s="29">
        <f t="shared" si="40"/>
        <v>202</v>
      </c>
      <c r="AA82" s="28">
        <f t="shared" si="41"/>
        <v>309.64999999999998</v>
      </c>
      <c r="AB82" s="28">
        <f t="shared" si="42"/>
        <v>127.91249999999999</v>
      </c>
      <c r="AC82" s="28">
        <f t="shared" si="3"/>
        <v>172.08750000000001</v>
      </c>
      <c r="AD82" s="28">
        <f t="shared" si="43"/>
        <v>129.06562500000001</v>
      </c>
      <c r="AE82" s="13">
        <f t="shared" si="4"/>
        <v>129.06562500000001</v>
      </c>
      <c r="AF82" s="13">
        <f t="shared" si="5"/>
        <v>0</v>
      </c>
      <c r="AG82" s="13">
        <f t="shared" si="44"/>
        <v>129.06562500000001</v>
      </c>
      <c r="AH82" s="28">
        <f t="shared" si="6"/>
        <v>231.81</v>
      </c>
      <c r="AI82" s="13">
        <f t="shared" si="7"/>
        <v>177.64999999999998</v>
      </c>
      <c r="AJ82" s="28">
        <f t="shared" si="8"/>
        <v>47.965499999999999</v>
      </c>
      <c r="AK82" s="13">
        <f t="shared" si="45"/>
        <v>183.84450000000001</v>
      </c>
      <c r="AL82" s="47">
        <f t="shared" si="46"/>
        <v>20</v>
      </c>
      <c r="AM82" s="13" t="str">
        <f t="shared" si="47"/>
        <v>N</v>
      </c>
      <c r="AN82" s="13">
        <f t="shared" si="48"/>
        <v>0</v>
      </c>
      <c r="AO82" s="13" t="str">
        <f t="shared" si="49"/>
        <v>N</v>
      </c>
      <c r="AP82" s="13">
        <f t="shared" si="50"/>
        <v>72.5</v>
      </c>
      <c r="AQ82" s="13">
        <f t="shared" si="51"/>
        <v>0</v>
      </c>
      <c r="AR82" s="13">
        <f t="shared" si="52"/>
        <v>0</v>
      </c>
      <c r="AS82" s="9">
        <f t="shared" si="9"/>
        <v>2</v>
      </c>
      <c r="AT82" s="9">
        <f t="shared" si="10"/>
        <v>20</v>
      </c>
      <c r="AU82" s="9">
        <f t="shared" si="11"/>
        <v>0</v>
      </c>
      <c r="AV82" s="13">
        <f t="shared" si="12"/>
        <v>5.69</v>
      </c>
      <c r="AW82" s="13">
        <f t="shared" si="13"/>
        <v>0</v>
      </c>
      <c r="AX82" s="9">
        <f t="shared" si="14"/>
        <v>1</v>
      </c>
      <c r="AY82" s="9">
        <f t="shared" si="15"/>
        <v>0</v>
      </c>
      <c r="AZ82" s="28">
        <f t="shared" si="53"/>
        <v>0</v>
      </c>
      <c r="BA82" s="9">
        <f t="shared" si="16"/>
        <v>1</v>
      </c>
      <c r="BB82" s="9">
        <f t="shared" si="17"/>
        <v>0</v>
      </c>
      <c r="BC82" s="28">
        <f t="shared" si="54"/>
        <v>0</v>
      </c>
      <c r="BD82" s="28">
        <f t="shared" si="55"/>
        <v>0</v>
      </c>
      <c r="BE82" s="13">
        <f t="shared" si="18"/>
        <v>60</v>
      </c>
      <c r="BF82" s="13">
        <f t="shared" si="19"/>
        <v>0</v>
      </c>
      <c r="BG82" s="28">
        <f t="shared" si="56"/>
        <v>60</v>
      </c>
    </row>
    <row r="83" spans="1:59" x14ac:dyDescent="0.2">
      <c r="A83" s="8">
        <f t="shared" si="57"/>
        <v>21</v>
      </c>
      <c r="B83" s="26">
        <f t="shared" si="0"/>
        <v>525</v>
      </c>
      <c r="C83" s="26">
        <f t="shared" si="20"/>
        <v>0</v>
      </c>
      <c r="D83" s="26">
        <f t="shared" si="21"/>
        <v>525</v>
      </c>
      <c r="E83" s="27">
        <f t="shared" si="22"/>
        <v>292.14999999999998</v>
      </c>
      <c r="F83" s="26">
        <f t="shared" si="23"/>
        <v>817.15</v>
      </c>
      <c r="G83" s="26">
        <f t="shared" si="24"/>
        <v>42491.799999999996</v>
      </c>
      <c r="H83" s="26">
        <f t="shared" si="25"/>
        <v>6946.0649999999987</v>
      </c>
      <c r="I83" s="26">
        <f t="shared" si="26"/>
        <v>35545.735000000001</v>
      </c>
      <c r="J83" s="26">
        <f t="shared" si="27"/>
        <v>683.57182692307697</v>
      </c>
      <c r="K83" s="26">
        <f t="shared" si="28"/>
        <v>439.17910926343438</v>
      </c>
      <c r="L83" s="26">
        <f t="shared" si="29"/>
        <v>244.39271765964256</v>
      </c>
      <c r="M83" s="26">
        <f t="shared" si="30"/>
        <v>129.06562500000001</v>
      </c>
      <c r="N83" s="27">
        <f t="shared" si="31"/>
        <v>181.81950000000001</v>
      </c>
      <c r="O83" s="27">
        <f t="shared" si="32"/>
        <v>5.69</v>
      </c>
      <c r="P83" s="26">
        <f t="shared" si="33"/>
        <v>1000.146951923077</v>
      </c>
      <c r="Q83" s="26">
        <f t="shared" si="34"/>
        <v>52007.641500000005</v>
      </c>
      <c r="R83" s="16">
        <f t="shared" si="35"/>
        <v>0.60589999999999689</v>
      </c>
      <c r="S83" s="26">
        <f t="shared" si="36"/>
        <v>65025.202142857153</v>
      </c>
      <c r="T83" s="27">
        <f t="shared" si="37"/>
        <v>69</v>
      </c>
      <c r="U83" s="26">
        <f t="shared" si="1"/>
        <v>931.14695192307704</v>
      </c>
      <c r="V83" s="16">
        <f t="shared" si="58"/>
        <v>0.96589999999999687</v>
      </c>
      <c r="W83" s="28">
        <f t="shared" si="2"/>
        <v>511.65</v>
      </c>
      <c r="X83" s="29">
        <f t="shared" si="38"/>
        <v>27</v>
      </c>
      <c r="Y83" s="29">
        <f t="shared" si="39"/>
        <v>192.5</v>
      </c>
      <c r="Z83" s="29">
        <f t="shared" si="40"/>
        <v>219.5</v>
      </c>
      <c r="AA83" s="28">
        <f t="shared" si="41"/>
        <v>292.14999999999998</v>
      </c>
      <c r="AB83" s="28">
        <f t="shared" si="42"/>
        <v>127.91249999999999</v>
      </c>
      <c r="AC83" s="28">
        <f t="shared" si="3"/>
        <v>172.08750000000001</v>
      </c>
      <c r="AD83" s="28">
        <f t="shared" si="43"/>
        <v>129.06562500000001</v>
      </c>
      <c r="AE83" s="13">
        <f t="shared" si="4"/>
        <v>129.06562500000001</v>
      </c>
      <c r="AF83" s="13">
        <f t="shared" si="5"/>
        <v>0</v>
      </c>
      <c r="AG83" s="13">
        <f t="shared" si="44"/>
        <v>129.06562500000001</v>
      </c>
      <c r="AH83" s="28">
        <f t="shared" si="6"/>
        <v>231.81</v>
      </c>
      <c r="AI83" s="13">
        <f t="shared" si="7"/>
        <v>185.14999999999998</v>
      </c>
      <c r="AJ83" s="28">
        <f t="shared" si="8"/>
        <v>49.990499999999997</v>
      </c>
      <c r="AK83" s="13">
        <f t="shared" si="45"/>
        <v>181.81950000000001</v>
      </c>
      <c r="AL83" s="47">
        <f t="shared" si="46"/>
        <v>21</v>
      </c>
      <c r="AM83" s="13" t="str">
        <f t="shared" si="47"/>
        <v>N</v>
      </c>
      <c r="AN83" s="13">
        <f t="shared" si="48"/>
        <v>0</v>
      </c>
      <c r="AO83" s="13" t="str">
        <f t="shared" si="49"/>
        <v>N</v>
      </c>
      <c r="AP83" s="13">
        <f t="shared" si="50"/>
        <v>72.5</v>
      </c>
      <c r="AQ83" s="13">
        <f t="shared" si="51"/>
        <v>0</v>
      </c>
      <c r="AR83" s="13">
        <f t="shared" si="52"/>
        <v>0</v>
      </c>
      <c r="AS83" s="9">
        <f t="shared" si="9"/>
        <v>2</v>
      </c>
      <c r="AT83" s="9">
        <f t="shared" si="10"/>
        <v>21</v>
      </c>
      <c r="AU83" s="9">
        <f t="shared" si="11"/>
        <v>0</v>
      </c>
      <c r="AV83" s="13">
        <f t="shared" si="12"/>
        <v>5.69</v>
      </c>
      <c r="AW83" s="13">
        <f t="shared" si="13"/>
        <v>0</v>
      </c>
      <c r="AX83" s="9">
        <f t="shared" si="14"/>
        <v>1</v>
      </c>
      <c r="AY83" s="9">
        <f t="shared" si="15"/>
        <v>1</v>
      </c>
      <c r="AZ83" s="28">
        <f t="shared" si="53"/>
        <v>5.69</v>
      </c>
      <c r="BA83" s="9">
        <f t="shared" si="16"/>
        <v>1</v>
      </c>
      <c r="BB83" s="9">
        <f t="shared" si="17"/>
        <v>0</v>
      </c>
      <c r="BC83" s="28">
        <f t="shared" si="54"/>
        <v>0</v>
      </c>
      <c r="BD83" s="28">
        <f t="shared" si="55"/>
        <v>5.69</v>
      </c>
      <c r="BE83" s="13">
        <f t="shared" si="18"/>
        <v>63</v>
      </c>
      <c r="BF83" s="13">
        <f t="shared" si="19"/>
        <v>6</v>
      </c>
      <c r="BG83" s="28">
        <f t="shared" si="56"/>
        <v>69</v>
      </c>
    </row>
    <row r="84" spans="1:59" x14ac:dyDescent="0.2">
      <c r="A84" s="8">
        <f t="shared" si="57"/>
        <v>22</v>
      </c>
      <c r="B84" s="26">
        <f t="shared" si="0"/>
        <v>550</v>
      </c>
      <c r="C84" s="26">
        <f t="shared" si="20"/>
        <v>0</v>
      </c>
      <c r="D84" s="26">
        <f t="shared" si="21"/>
        <v>550</v>
      </c>
      <c r="E84" s="27">
        <f t="shared" si="22"/>
        <v>274.64999999999998</v>
      </c>
      <c r="F84" s="26">
        <f t="shared" si="23"/>
        <v>824.65</v>
      </c>
      <c r="G84" s="26">
        <f t="shared" si="24"/>
        <v>42881.799999999996</v>
      </c>
      <c r="H84" s="26">
        <f t="shared" si="25"/>
        <v>7014.3149999999987</v>
      </c>
      <c r="I84" s="26">
        <f t="shared" si="26"/>
        <v>35867.485000000001</v>
      </c>
      <c r="J84" s="26">
        <f t="shared" si="27"/>
        <v>689.75932692307697</v>
      </c>
      <c r="K84" s="26">
        <f t="shared" si="28"/>
        <v>460.03471752585017</v>
      </c>
      <c r="L84" s="26">
        <f t="shared" si="29"/>
        <v>229.72460939722677</v>
      </c>
      <c r="M84" s="26">
        <f t="shared" si="30"/>
        <v>129.06562500000001</v>
      </c>
      <c r="N84" s="27">
        <f t="shared" si="31"/>
        <v>179.7945</v>
      </c>
      <c r="O84" s="27">
        <f t="shared" si="32"/>
        <v>11.38</v>
      </c>
      <c r="P84" s="26">
        <f t="shared" si="33"/>
        <v>1009.9994519230769</v>
      </c>
      <c r="Q84" s="26">
        <f t="shared" si="34"/>
        <v>52519.9715</v>
      </c>
      <c r="R84" s="16">
        <f t="shared" si="35"/>
        <v>0.60590000000000599</v>
      </c>
      <c r="S84" s="26">
        <f t="shared" si="36"/>
        <v>65757.10214285714</v>
      </c>
      <c r="T84" s="27">
        <f t="shared" si="37"/>
        <v>78</v>
      </c>
      <c r="U84" s="26">
        <f t="shared" si="1"/>
        <v>931.99945192307689</v>
      </c>
      <c r="V84" s="16">
        <f t="shared" si="58"/>
        <v>0.96590000000000598</v>
      </c>
      <c r="W84" s="28">
        <f t="shared" si="2"/>
        <v>511.65</v>
      </c>
      <c r="X84" s="29">
        <f t="shared" si="38"/>
        <v>27</v>
      </c>
      <c r="Y84" s="29">
        <f t="shared" si="39"/>
        <v>210</v>
      </c>
      <c r="Z84" s="29">
        <f t="shared" si="40"/>
        <v>237</v>
      </c>
      <c r="AA84" s="28">
        <f t="shared" si="41"/>
        <v>274.64999999999998</v>
      </c>
      <c r="AB84" s="28">
        <f t="shared" si="42"/>
        <v>127.91249999999999</v>
      </c>
      <c r="AC84" s="28">
        <f t="shared" si="3"/>
        <v>172.08750000000001</v>
      </c>
      <c r="AD84" s="28">
        <f t="shared" si="43"/>
        <v>129.06562500000001</v>
      </c>
      <c r="AE84" s="13">
        <f t="shared" si="4"/>
        <v>129.06562500000001</v>
      </c>
      <c r="AF84" s="13">
        <f t="shared" si="5"/>
        <v>0</v>
      </c>
      <c r="AG84" s="13">
        <f t="shared" si="44"/>
        <v>129.06562500000001</v>
      </c>
      <c r="AH84" s="28">
        <f t="shared" si="6"/>
        <v>231.81</v>
      </c>
      <c r="AI84" s="13">
        <f t="shared" si="7"/>
        <v>192.64999999999998</v>
      </c>
      <c r="AJ84" s="28">
        <f t="shared" si="8"/>
        <v>52.015499999999996</v>
      </c>
      <c r="AK84" s="13">
        <f t="shared" si="45"/>
        <v>179.7945</v>
      </c>
      <c r="AL84" s="47">
        <f t="shared" si="46"/>
        <v>22</v>
      </c>
      <c r="AM84" s="13" t="str">
        <f t="shared" si="47"/>
        <v>N</v>
      </c>
      <c r="AN84" s="13">
        <f t="shared" si="48"/>
        <v>0</v>
      </c>
      <c r="AO84" s="13" t="str">
        <f t="shared" si="49"/>
        <v>N</v>
      </c>
      <c r="AP84" s="13">
        <f t="shared" si="50"/>
        <v>72.5</v>
      </c>
      <c r="AQ84" s="13">
        <f t="shared" si="51"/>
        <v>0</v>
      </c>
      <c r="AR84" s="13">
        <f t="shared" si="52"/>
        <v>0</v>
      </c>
      <c r="AS84" s="9">
        <f t="shared" si="9"/>
        <v>2</v>
      </c>
      <c r="AT84" s="9">
        <f t="shared" si="10"/>
        <v>22</v>
      </c>
      <c r="AU84" s="9">
        <f t="shared" si="11"/>
        <v>0</v>
      </c>
      <c r="AV84" s="13">
        <f t="shared" si="12"/>
        <v>5.69</v>
      </c>
      <c r="AW84" s="13">
        <f t="shared" si="13"/>
        <v>0</v>
      </c>
      <c r="AX84" s="9">
        <f t="shared" si="14"/>
        <v>1</v>
      </c>
      <c r="AY84" s="9">
        <f t="shared" si="15"/>
        <v>2</v>
      </c>
      <c r="AZ84" s="28">
        <f t="shared" si="53"/>
        <v>11.38</v>
      </c>
      <c r="BA84" s="9">
        <f t="shared" si="16"/>
        <v>1</v>
      </c>
      <c r="BB84" s="9">
        <f t="shared" si="17"/>
        <v>0</v>
      </c>
      <c r="BC84" s="28">
        <f t="shared" si="54"/>
        <v>0</v>
      </c>
      <c r="BD84" s="28">
        <f t="shared" si="55"/>
        <v>11.38</v>
      </c>
      <c r="BE84" s="13">
        <f t="shared" si="18"/>
        <v>66</v>
      </c>
      <c r="BF84" s="13">
        <f t="shared" si="19"/>
        <v>12</v>
      </c>
      <c r="BG84" s="28">
        <f t="shared" si="56"/>
        <v>78</v>
      </c>
    </row>
    <row r="85" spans="1:59" x14ac:dyDescent="0.2">
      <c r="A85" s="8">
        <f t="shared" si="57"/>
        <v>23</v>
      </c>
      <c r="B85" s="26">
        <f t="shared" si="0"/>
        <v>575</v>
      </c>
      <c r="C85" s="26">
        <f t="shared" si="20"/>
        <v>0</v>
      </c>
      <c r="D85" s="26">
        <f t="shared" si="21"/>
        <v>575</v>
      </c>
      <c r="E85" s="27">
        <f t="shared" si="22"/>
        <v>257.14999999999998</v>
      </c>
      <c r="F85" s="26">
        <f t="shared" si="23"/>
        <v>832.15</v>
      </c>
      <c r="G85" s="26">
        <f t="shared" si="24"/>
        <v>43271.799999999996</v>
      </c>
      <c r="H85" s="26">
        <f t="shared" si="25"/>
        <v>7082.5649999999987</v>
      </c>
      <c r="I85" s="26">
        <f t="shared" si="26"/>
        <v>36189.235000000001</v>
      </c>
      <c r="J85" s="26">
        <f t="shared" si="27"/>
        <v>695.94682692307697</v>
      </c>
      <c r="K85" s="26">
        <f t="shared" si="28"/>
        <v>480.88616893681336</v>
      </c>
      <c r="L85" s="26">
        <f t="shared" si="29"/>
        <v>215.06065798626358</v>
      </c>
      <c r="M85" s="26">
        <f t="shared" si="30"/>
        <v>129.06562500000001</v>
      </c>
      <c r="N85" s="27">
        <f t="shared" si="31"/>
        <v>177.76949999999999</v>
      </c>
      <c r="O85" s="27">
        <f t="shared" si="32"/>
        <v>17.07</v>
      </c>
      <c r="P85" s="26">
        <f t="shared" si="33"/>
        <v>1019.851951923077</v>
      </c>
      <c r="Q85" s="26">
        <f t="shared" si="34"/>
        <v>53032.301500000001</v>
      </c>
      <c r="R85" s="16">
        <f t="shared" si="35"/>
        <v>0.60589999999999689</v>
      </c>
      <c r="S85" s="26">
        <f t="shared" si="36"/>
        <v>66489.002142857149</v>
      </c>
      <c r="T85" s="27">
        <f t="shared" si="37"/>
        <v>87</v>
      </c>
      <c r="U85" s="26">
        <f t="shared" si="1"/>
        <v>932.85195192307697</v>
      </c>
      <c r="V85" s="16">
        <f t="shared" si="58"/>
        <v>0.96589999999999687</v>
      </c>
      <c r="W85" s="28">
        <f t="shared" si="2"/>
        <v>511.65</v>
      </c>
      <c r="X85" s="29">
        <f t="shared" si="38"/>
        <v>27</v>
      </c>
      <c r="Y85" s="29">
        <f t="shared" si="39"/>
        <v>227.49999999999997</v>
      </c>
      <c r="Z85" s="29">
        <f t="shared" si="40"/>
        <v>254.49999999999997</v>
      </c>
      <c r="AA85" s="28">
        <f t="shared" si="41"/>
        <v>257.14999999999998</v>
      </c>
      <c r="AB85" s="28">
        <f t="shared" si="42"/>
        <v>127.91249999999999</v>
      </c>
      <c r="AC85" s="28">
        <f t="shared" si="3"/>
        <v>172.08750000000001</v>
      </c>
      <c r="AD85" s="28">
        <f t="shared" si="43"/>
        <v>129.06562500000001</v>
      </c>
      <c r="AE85" s="13">
        <f t="shared" si="4"/>
        <v>129.06562500000001</v>
      </c>
      <c r="AF85" s="13">
        <f t="shared" si="5"/>
        <v>0</v>
      </c>
      <c r="AG85" s="13">
        <f t="shared" si="44"/>
        <v>129.06562500000001</v>
      </c>
      <c r="AH85" s="28">
        <f t="shared" si="6"/>
        <v>231.81</v>
      </c>
      <c r="AI85" s="13">
        <f t="shared" si="7"/>
        <v>200.14999999999998</v>
      </c>
      <c r="AJ85" s="28">
        <f t="shared" si="8"/>
        <v>54.040499999999994</v>
      </c>
      <c r="AK85" s="13">
        <f t="shared" si="45"/>
        <v>177.76949999999999</v>
      </c>
      <c r="AL85" s="47">
        <f t="shared" si="46"/>
        <v>23</v>
      </c>
      <c r="AM85" s="13" t="str">
        <f t="shared" si="47"/>
        <v>N</v>
      </c>
      <c r="AN85" s="13">
        <f t="shared" si="48"/>
        <v>0</v>
      </c>
      <c r="AO85" s="13" t="str">
        <f t="shared" si="49"/>
        <v>N</v>
      </c>
      <c r="AP85" s="13">
        <f t="shared" si="50"/>
        <v>72.5</v>
      </c>
      <c r="AQ85" s="13">
        <f t="shared" si="51"/>
        <v>0</v>
      </c>
      <c r="AR85" s="13">
        <f t="shared" si="52"/>
        <v>0</v>
      </c>
      <c r="AS85" s="9">
        <f t="shared" si="9"/>
        <v>2</v>
      </c>
      <c r="AT85" s="9">
        <f t="shared" si="10"/>
        <v>23</v>
      </c>
      <c r="AU85" s="9">
        <f t="shared" si="11"/>
        <v>0</v>
      </c>
      <c r="AV85" s="13">
        <f t="shared" si="12"/>
        <v>5.69</v>
      </c>
      <c r="AW85" s="13">
        <f t="shared" si="13"/>
        <v>0</v>
      </c>
      <c r="AX85" s="9">
        <f t="shared" si="14"/>
        <v>1</v>
      </c>
      <c r="AY85" s="9">
        <f t="shared" si="15"/>
        <v>3</v>
      </c>
      <c r="AZ85" s="28">
        <f t="shared" si="53"/>
        <v>17.07</v>
      </c>
      <c r="BA85" s="9">
        <f t="shared" si="16"/>
        <v>1</v>
      </c>
      <c r="BB85" s="9">
        <f t="shared" si="17"/>
        <v>0</v>
      </c>
      <c r="BC85" s="28">
        <f t="shared" si="54"/>
        <v>0</v>
      </c>
      <c r="BD85" s="28">
        <f t="shared" si="55"/>
        <v>17.07</v>
      </c>
      <c r="BE85" s="13">
        <f t="shared" si="18"/>
        <v>69</v>
      </c>
      <c r="BF85" s="13">
        <f t="shared" si="19"/>
        <v>18</v>
      </c>
      <c r="BG85" s="28">
        <f t="shared" si="56"/>
        <v>87</v>
      </c>
    </row>
    <row r="86" spans="1:59" x14ac:dyDescent="0.2">
      <c r="A86" s="8">
        <f t="shared" si="57"/>
        <v>24</v>
      </c>
      <c r="B86" s="26">
        <f t="shared" si="0"/>
        <v>600</v>
      </c>
      <c r="C86" s="26">
        <f t="shared" si="20"/>
        <v>0</v>
      </c>
      <c r="D86" s="26">
        <f t="shared" si="21"/>
        <v>600</v>
      </c>
      <c r="E86" s="27">
        <f t="shared" si="22"/>
        <v>239.64999999999998</v>
      </c>
      <c r="F86" s="26">
        <f t="shared" si="23"/>
        <v>839.65</v>
      </c>
      <c r="G86" s="26">
        <f t="shared" si="24"/>
        <v>43661.799999999996</v>
      </c>
      <c r="H86" s="26">
        <f t="shared" si="25"/>
        <v>7150.8149999999987</v>
      </c>
      <c r="I86" s="26">
        <f t="shared" si="26"/>
        <v>36510.985000000001</v>
      </c>
      <c r="J86" s="26">
        <f t="shared" si="27"/>
        <v>702.13432692307697</v>
      </c>
      <c r="K86" s="26">
        <f t="shared" si="28"/>
        <v>501.73357488697218</v>
      </c>
      <c r="L86" s="26">
        <f t="shared" si="29"/>
        <v>200.40075203610479</v>
      </c>
      <c r="M86" s="26">
        <f t="shared" si="30"/>
        <v>129.06562500000001</v>
      </c>
      <c r="N86" s="27">
        <f t="shared" si="31"/>
        <v>175.74450000000002</v>
      </c>
      <c r="O86" s="27">
        <f t="shared" si="32"/>
        <v>22.76</v>
      </c>
      <c r="P86" s="26">
        <f t="shared" si="33"/>
        <v>1029.7044519230769</v>
      </c>
      <c r="Q86" s="26">
        <f t="shared" si="34"/>
        <v>53544.631500000003</v>
      </c>
      <c r="R86" s="16">
        <f t="shared" si="35"/>
        <v>0.60590000000000144</v>
      </c>
      <c r="S86" s="26">
        <f t="shared" si="36"/>
        <v>67220.902142857143</v>
      </c>
      <c r="T86" s="27">
        <f t="shared" si="37"/>
        <v>96</v>
      </c>
      <c r="U86" s="26">
        <f t="shared" si="1"/>
        <v>933.70445192307693</v>
      </c>
      <c r="V86" s="16">
        <f t="shared" si="58"/>
        <v>0.96590000000000142</v>
      </c>
      <c r="W86" s="28">
        <f t="shared" si="2"/>
        <v>511.65</v>
      </c>
      <c r="X86" s="29">
        <f t="shared" si="38"/>
        <v>27</v>
      </c>
      <c r="Y86" s="29">
        <f t="shared" si="39"/>
        <v>244.99999999999997</v>
      </c>
      <c r="Z86" s="29">
        <f t="shared" si="40"/>
        <v>272</v>
      </c>
      <c r="AA86" s="28">
        <f t="shared" si="41"/>
        <v>239.64999999999998</v>
      </c>
      <c r="AB86" s="28">
        <f t="shared" si="42"/>
        <v>127.91249999999999</v>
      </c>
      <c r="AC86" s="28">
        <f t="shared" si="3"/>
        <v>172.08750000000001</v>
      </c>
      <c r="AD86" s="28">
        <f t="shared" si="43"/>
        <v>129.06562500000001</v>
      </c>
      <c r="AE86" s="13">
        <f t="shared" si="4"/>
        <v>129.06562500000001</v>
      </c>
      <c r="AF86" s="13">
        <f t="shared" si="5"/>
        <v>0</v>
      </c>
      <c r="AG86" s="13">
        <f t="shared" si="44"/>
        <v>129.06562500000001</v>
      </c>
      <c r="AH86" s="28">
        <f t="shared" si="6"/>
        <v>231.81</v>
      </c>
      <c r="AI86" s="13">
        <f t="shared" si="7"/>
        <v>207.64999999999998</v>
      </c>
      <c r="AJ86" s="28">
        <f t="shared" si="8"/>
        <v>56.0655</v>
      </c>
      <c r="AK86" s="13">
        <f t="shared" si="45"/>
        <v>175.74450000000002</v>
      </c>
      <c r="AL86" s="47">
        <f t="shared" si="46"/>
        <v>24</v>
      </c>
      <c r="AM86" s="13" t="str">
        <f t="shared" si="47"/>
        <v>N</v>
      </c>
      <c r="AN86" s="13">
        <f t="shared" si="48"/>
        <v>0</v>
      </c>
      <c r="AO86" s="13" t="str">
        <f t="shared" si="49"/>
        <v>N</v>
      </c>
      <c r="AP86" s="13">
        <f t="shared" si="50"/>
        <v>72.5</v>
      </c>
      <c r="AQ86" s="13">
        <f t="shared" si="51"/>
        <v>0</v>
      </c>
      <c r="AR86" s="13">
        <f t="shared" si="52"/>
        <v>0</v>
      </c>
      <c r="AS86" s="9">
        <f t="shared" si="9"/>
        <v>2</v>
      </c>
      <c r="AT86" s="9">
        <f t="shared" si="10"/>
        <v>24</v>
      </c>
      <c r="AU86" s="9">
        <f t="shared" si="11"/>
        <v>0</v>
      </c>
      <c r="AV86" s="13">
        <f t="shared" si="12"/>
        <v>5.69</v>
      </c>
      <c r="AW86" s="13">
        <f t="shared" si="13"/>
        <v>0</v>
      </c>
      <c r="AX86" s="9">
        <f t="shared" si="14"/>
        <v>1</v>
      </c>
      <c r="AY86" s="9">
        <f t="shared" si="15"/>
        <v>4</v>
      </c>
      <c r="AZ86" s="28">
        <f t="shared" si="53"/>
        <v>22.76</v>
      </c>
      <c r="BA86" s="9">
        <f t="shared" si="16"/>
        <v>1</v>
      </c>
      <c r="BB86" s="9">
        <f t="shared" si="17"/>
        <v>0</v>
      </c>
      <c r="BC86" s="28">
        <f t="shared" si="54"/>
        <v>0</v>
      </c>
      <c r="BD86" s="28">
        <f t="shared" si="55"/>
        <v>22.76</v>
      </c>
      <c r="BE86" s="13">
        <f t="shared" si="18"/>
        <v>72</v>
      </c>
      <c r="BF86" s="13">
        <f t="shared" si="19"/>
        <v>24</v>
      </c>
      <c r="BG86" s="28">
        <f t="shared" si="56"/>
        <v>96</v>
      </c>
    </row>
    <row r="87" spans="1:59" x14ac:dyDescent="0.2">
      <c r="A87" s="8">
        <f t="shared" si="57"/>
        <v>25</v>
      </c>
      <c r="B87" s="26">
        <f t="shared" si="0"/>
        <v>625</v>
      </c>
      <c r="C87" s="26">
        <f t="shared" si="20"/>
        <v>0</v>
      </c>
      <c r="D87" s="26">
        <f t="shared" si="21"/>
        <v>625</v>
      </c>
      <c r="E87" s="27">
        <f t="shared" si="22"/>
        <v>222.14999999999998</v>
      </c>
      <c r="F87" s="26">
        <f t="shared" si="23"/>
        <v>847.15</v>
      </c>
      <c r="G87" s="26">
        <f t="shared" si="24"/>
        <v>44051.799999999996</v>
      </c>
      <c r="H87" s="26">
        <f t="shared" si="25"/>
        <v>7219.0649999999987</v>
      </c>
      <c r="I87" s="26">
        <f t="shared" si="26"/>
        <v>36832.735000000001</v>
      </c>
      <c r="J87" s="26">
        <f t="shared" si="27"/>
        <v>708.32182692307697</v>
      </c>
      <c r="K87" s="26">
        <f t="shared" si="28"/>
        <v>522.57704282231373</v>
      </c>
      <c r="L87" s="26">
        <f t="shared" si="29"/>
        <v>185.74478410076318</v>
      </c>
      <c r="M87" s="26">
        <f t="shared" si="30"/>
        <v>129.06562500000001</v>
      </c>
      <c r="N87" s="27">
        <f t="shared" si="31"/>
        <v>173.71950000000001</v>
      </c>
      <c r="O87" s="27">
        <f t="shared" si="32"/>
        <v>28.450000000000003</v>
      </c>
      <c r="P87" s="26">
        <f t="shared" si="33"/>
        <v>1039.5569519230769</v>
      </c>
      <c r="Q87" s="26">
        <f t="shared" si="34"/>
        <v>54056.961499999998</v>
      </c>
      <c r="R87" s="16">
        <f t="shared" si="35"/>
        <v>0.60590000000000144</v>
      </c>
      <c r="S87" s="26">
        <f t="shared" si="36"/>
        <v>67952.802142857137</v>
      </c>
      <c r="T87" s="27">
        <f t="shared" si="37"/>
        <v>105</v>
      </c>
      <c r="U87" s="26">
        <f t="shared" si="1"/>
        <v>934.55695192307689</v>
      </c>
      <c r="V87" s="16">
        <f t="shared" si="58"/>
        <v>0.96590000000000142</v>
      </c>
      <c r="W87" s="28">
        <f t="shared" si="2"/>
        <v>511.65</v>
      </c>
      <c r="X87" s="29">
        <f t="shared" si="38"/>
        <v>27</v>
      </c>
      <c r="Y87" s="29">
        <f t="shared" si="39"/>
        <v>262.5</v>
      </c>
      <c r="Z87" s="29">
        <f t="shared" si="40"/>
        <v>289.5</v>
      </c>
      <c r="AA87" s="28">
        <f t="shared" si="41"/>
        <v>222.14999999999998</v>
      </c>
      <c r="AB87" s="28">
        <f t="shared" si="42"/>
        <v>127.91249999999999</v>
      </c>
      <c r="AC87" s="28">
        <f t="shared" si="3"/>
        <v>172.08750000000001</v>
      </c>
      <c r="AD87" s="28">
        <f t="shared" si="43"/>
        <v>129.06562500000001</v>
      </c>
      <c r="AE87" s="13">
        <f t="shared" si="4"/>
        <v>129.06562500000001</v>
      </c>
      <c r="AF87" s="13">
        <f t="shared" si="5"/>
        <v>0</v>
      </c>
      <c r="AG87" s="13">
        <f t="shared" si="44"/>
        <v>129.06562500000001</v>
      </c>
      <c r="AH87" s="28">
        <f t="shared" si="6"/>
        <v>231.81</v>
      </c>
      <c r="AI87" s="13">
        <f t="shared" si="7"/>
        <v>215.14999999999998</v>
      </c>
      <c r="AJ87" s="28">
        <f t="shared" si="8"/>
        <v>58.090499999999999</v>
      </c>
      <c r="AK87" s="13">
        <f t="shared" si="45"/>
        <v>173.71950000000001</v>
      </c>
      <c r="AL87" s="47">
        <f t="shared" si="46"/>
        <v>25</v>
      </c>
      <c r="AM87" s="13" t="str">
        <f t="shared" si="47"/>
        <v>N</v>
      </c>
      <c r="AN87" s="13">
        <f t="shared" si="48"/>
        <v>0</v>
      </c>
      <c r="AO87" s="13" t="str">
        <f t="shared" si="49"/>
        <v>N</v>
      </c>
      <c r="AP87" s="13">
        <f t="shared" si="50"/>
        <v>72.5</v>
      </c>
      <c r="AQ87" s="13">
        <f t="shared" si="51"/>
        <v>0</v>
      </c>
      <c r="AR87" s="13">
        <f t="shared" si="52"/>
        <v>0</v>
      </c>
      <c r="AS87" s="9">
        <f t="shared" si="9"/>
        <v>2</v>
      </c>
      <c r="AT87" s="9">
        <f t="shared" si="10"/>
        <v>25</v>
      </c>
      <c r="AU87" s="9">
        <f t="shared" si="11"/>
        <v>0</v>
      </c>
      <c r="AV87" s="13">
        <f t="shared" si="12"/>
        <v>5.69</v>
      </c>
      <c r="AW87" s="13">
        <f t="shared" si="13"/>
        <v>0</v>
      </c>
      <c r="AX87" s="9">
        <f t="shared" si="14"/>
        <v>1</v>
      </c>
      <c r="AY87" s="9">
        <f t="shared" si="15"/>
        <v>5</v>
      </c>
      <c r="AZ87" s="28">
        <f t="shared" si="53"/>
        <v>28.450000000000003</v>
      </c>
      <c r="BA87" s="9">
        <f t="shared" si="16"/>
        <v>1</v>
      </c>
      <c r="BB87" s="9">
        <f t="shared" si="17"/>
        <v>0</v>
      </c>
      <c r="BC87" s="28">
        <f t="shared" si="54"/>
        <v>0</v>
      </c>
      <c r="BD87" s="28">
        <f t="shared" si="55"/>
        <v>28.450000000000003</v>
      </c>
      <c r="BE87" s="13">
        <f t="shared" si="18"/>
        <v>75</v>
      </c>
      <c r="BF87" s="13">
        <f t="shared" si="19"/>
        <v>30</v>
      </c>
      <c r="BG87" s="28">
        <f t="shared" si="56"/>
        <v>105</v>
      </c>
    </row>
    <row r="88" spans="1:59" x14ac:dyDescent="0.2">
      <c r="A88" s="8">
        <f t="shared" si="57"/>
        <v>26</v>
      </c>
      <c r="B88" s="26">
        <f t="shared" si="0"/>
        <v>650</v>
      </c>
      <c r="C88" s="26">
        <f t="shared" si="20"/>
        <v>0</v>
      </c>
      <c r="D88" s="26">
        <f t="shared" si="21"/>
        <v>650</v>
      </c>
      <c r="E88" s="27">
        <f t="shared" si="22"/>
        <v>204.64999999999998</v>
      </c>
      <c r="F88" s="26">
        <f t="shared" si="23"/>
        <v>854.65</v>
      </c>
      <c r="G88" s="26">
        <f t="shared" si="24"/>
        <v>44441.799999999996</v>
      </c>
      <c r="H88" s="26">
        <f t="shared" si="25"/>
        <v>7287.3149999999987</v>
      </c>
      <c r="I88" s="26">
        <f t="shared" si="26"/>
        <v>37154.485000000001</v>
      </c>
      <c r="J88" s="26">
        <f t="shared" si="27"/>
        <v>714.50932692307697</v>
      </c>
      <c r="K88" s="26">
        <f t="shared" si="28"/>
        <v>543.41667641724689</v>
      </c>
      <c r="L88" s="26">
        <f t="shared" si="29"/>
        <v>171.09265050583008</v>
      </c>
      <c r="M88" s="26">
        <f t="shared" si="30"/>
        <v>129.06562500000001</v>
      </c>
      <c r="N88" s="27">
        <f t="shared" si="31"/>
        <v>171.69450000000001</v>
      </c>
      <c r="O88" s="27">
        <f t="shared" si="32"/>
        <v>39.83</v>
      </c>
      <c r="P88" s="26">
        <f t="shared" si="33"/>
        <v>1055.0994519230769</v>
      </c>
      <c r="Q88" s="26">
        <f t="shared" si="34"/>
        <v>54865.171499999997</v>
      </c>
      <c r="R88" s="16">
        <f t="shared" si="35"/>
        <v>0.3782999999999993</v>
      </c>
      <c r="S88" s="26">
        <f t="shared" si="36"/>
        <v>69107.38785714285</v>
      </c>
      <c r="T88" s="27">
        <f t="shared" si="37"/>
        <v>120</v>
      </c>
      <c r="U88" s="26">
        <f t="shared" si="1"/>
        <v>935.09945192307691</v>
      </c>
      <c r="V88" s="16">
        <f t="shared" si="58"/>
        <v>0.97829999999999928</v>
      </c>
      <c r="W88" s="28">
        <f t="shared" si="2"/>
        <v>511.65</v>
      </c>
      <c r="X88" s="29">
        <f t="shared" si="38"/>
        <v>27</v>
      </c>
      <c r="Y88" s="29">
        <f t="shared" si="39"/>
        <v>280</v>
      </c>
      <c r="Z88" s="29">
        <f t="shared" si="40"/>
        <v>307</v>
      </c>
      <c r="AA88" s="28">
        <f t="shared" si="41"/>
        <v>204.64999999999998</v>
      </c>
      <c r="AB88" s="28">
        <f t="shared" si="42"/>
        <v>127.91249999999999</v>
      </c>
      <c r="AC88" s="28">
        <f t="shared" si="3"/>
        <v>172.08750000000001</v>
      </c>
      <c r="AD88" s="28">
        <f t="shared" si="43"/>
        <v>129.06562500000001</v>
      </c>
      <c r="AE88" s="13">
        <f t="shared" si="4"/>
        <v>129.06562500000001</v>
      </c>
      <c r="AF88" s="13">
        <f t="shared" si="5"/>
        <v>0</v>
      </c>
      <c r="AG88" s="13">
        <f t="shared" si="44"/>
        <v>129.06562500000001</v>
      </c>
      <c r="AH88" s="28">
        <f t="shared" si="6"/>
        <v>231.81</v>
      </c>
      <c r="AI88" s="13">
        <f t="shared" si="7"/>
        <v>222.64999999999998</v>
      </c>
      <c r="AJ88" s="28">
        <f t="shared" si="8"/>
        <v>60.115499999999997</v>
      </c>
      <c r="AK88" s="13">
        <f t="shared" si="45"/>
        <v>171.69450000000001</v>
      </c>
      <c r="AL88" s="47">
        <f t="shared" si="46"/>
        <v>26</v>
      </c>
      <c r="AM88" s="13" t="str">
        <f t="shared" si="47"/>
        <v>N</v>
      </c>
      <c r="AN88" s="13">
        <f t="shared" si="48"/>
        <v>0</v>
      </c>
      <c r="AO88" s="13" t="str">
        <f t="shared" si="49"/>
        <v>N</v>
      </c>
      <c r="AP88" s="13">
        <f t="shared" si="50"/>
        <v>72.5</v>
      </c>
      <c r="AQ88" s="13">
        <f t="shared" si="51"/>
        <v>0</v>
      </c>
      <c r="AR88" s="13">
        <f t="shared" si="52"/>
        <v>0</v>
      </c>
      <c r="AS88" s="9">
        <f t="shared" si="9"/>
        <v>2</v>
      </c>
      <c r="AT88" s="9">
        <f t="shared" si="10"/>
        <v>26</v>
      </c>
      <c r="AU88" s="9">
        <f t="shared" si="11"/>
        <v>0</v>
      </c>
      <c r="AV88" s="13">
        <f t="shared" si="12"/>
        <v>5.69</v>
      </c>
      <c r="AW88" s="13">
        <f t="shared" si="13"/>
        <v>0</v>
      </c>
      <c r="AX88" s="9">
        <f t="shared" si="14"/>
        <v>1</v>
      </c>
      <c r="AY88" s="9">
        <f t="shared" si="15"/>
        <v>6</v>
      </c>
      <c r="AZ88" s="28">
        <f t="shared" si="53"/>
        <v>34.14</v>
      </c>
      <c r="BA88" s="9">
        <f t="shared" si="16"/>
        <v>1</v>
      </c>
      <c r="BB88" s="9">
        <f t="shared" si="17"/>
        <v>1</v>
      </c>
      <c r="BC88" s="28">
        <f t="shared" si="54"/>
        <v>5.69</v>
      </c>
      <c r="BD88" s="28">
        <f t="shared" si="55"/>
        <v>39.83</v>
      </c>
      <c r="BE88" s="13">
        <f t="shared" si="18"/>
        <v>78</v>
      </c>
      <c r="BF88" s="13">
        <f t="shared" si="19"/>
        <v>42</v>
      </c>
      <c r="BG88" s="28">
        <f t="shared" si="56"/>
        <v>120</v>
      </c>
    </row>
    <row r="89" spans="1:59" x14ac:dyDescent="0.2">
      <c r="A89" s="8">
        <f t="shared" si="57"/>
        <v>27</v>
      </c>
      <c r="B89" s="26">
        <f t="shared" si="0"/>
        <v>675</v>
      </c>
      <c r="C89" s="26">
        <f t="shared" si="20"/>
        <v>0</v>
      </c>
      <c r="D89" s="26">
        <f t="shared" si="21"/>
        <v>675</v>
      </c>
      <c r="E89" s="27">
        <f t="shared" si="22"/>
        <v>187.14999999999998</v>
      </c>
      <c r="F89" s="26">
        <f t="shared" si="23"/>
        <v>862.15</v>
      </c>
      <c r="G89" s="26">
        <f t="shared" si="24"/>
        <v>44831.799999999996</v>
      </c>
      <c r="H89" s="26">
        <f t="shared" si="25"/>
        <v>7355.5649999999987</v>
      </c>
      <c r="I89" s="26">
        <f t="shared" si="26"/>
        <v>37476.235000000001</v>
      </c>
      <c r="J89" s="26">
        <f t="shared" si="27"/>
        <v>720.69682692307697</v>
      </c>
      <c r="K89" s="26">
        <f t="shared" si="28"/>
        <v>564.25257573864985</v>
      </c>
      <c r="L89" s="26">
        <f t="shared" si="29"/>
        <v>156.44425118442712</v>
      </c>
      <c r="M89" s="26">
        <f t="shared" si="30"/>
        <v>129.06562500000001</v>
      </c>
      <c r="N89" s="27">
        <f t="shared" si="31"/>
        <v>169.6695</v>
      </c>
      <c r="O89" s="27">
        <f t="shared" si="32"/>
        <v>51.210000000000008</v>
      </c>
      <c r="P89" s="26">
        <f t="shared" si="33"/>
        <v>1070.6419519230769</v>
      </c>
      <c r="Q89" s="26">
        <f t="shared" si="34"/>
        <v>55673.381500000003</v>
      </c>
      <c r="R89" s="16">
        <f t="shared" si="35"/>
        <v>0.3782999999999993</v>
      </c>
      <c r="S89" s="26">
        <f t="shared" si="36"/>
        <v>70183.381500000003</v>
      </c>
      <c r="T89" s="27">
        <f t="shared" si="37"/>
        <v>135</v>
      </c>
      <c r="U89" s="26">
        <f t="shared" si="1"/>
        <v>935.64195192307693</v>
      </c>
      <c r="V89" s="16">
        <f t="shared" si="58"/>
        <v>0.97829999999999928</v>
      </c>
      <c r="W89" s="28">
        <f t="shared" si="2"/>
        <v>511.65</v>
      </c>
      <c r="X89" s="29">
        <f t="shared" si="38"/>
        <v>27</v>
      </c>
      <c r="Y89" s="29">
        <f t="shared" si="39"/>
        <v>297.5</v>
      </c>
      <c r="Z89" s="29">
        <f t="shared" si="40"/>
        <v>324.5</v>
      </c>
      <c r="AA89" s="28">
        <f t="shared" si="41"/>
        <v>187.14999999999998</v>
      </c>
      <c r="AB89" s="28">
        <f t="shared" si="42"/>
        <v>127.91249999999999</v>
      </c>
      <c r="AC89" s="28">
        <f t="shared" si="3"/>
        <v>172.08750000000001</v>
      </c>
      <c r="AD89" s="28">
        <f t="shared" si="43"/>
        <v>129.06562500000001</v>
      </c>
      <c r="AE89" s="13">
        <f t="shared" si="4"/>
        <v>129.06562500000001</v>
      </c>
      <c r="AF89" s="13">
        <f t="shared" si="5"/>
        <v>0</v>
      </c>
      <c r="AG89" s="13">
        <f t="shared" si="44"/>
        <v>129.06562500000001</v>
      </c>
      <c r="AH89" s="28">
        <f t="shared" si="6"/>
        <v>231.81</v>
      </c>
      <c r="AI89" s="13">
        <f t="shared" si="7"/>
        <v>230.14999999999998</v>
      </c>
      <c r="AJ89" s="28">
        <f t="shared" si="8"/>
        <v>62.140499999999996</v>
      </c>
      <c r="AK89" s="13">
        <f t="shared" si="45"/>
        <v>169.6695</v>
      </c>
      <c r="AL89" s="47">
        <f t="shared" si="46"/>
        <v>27</v>
      </c>
      <c r="AM89" s="13" t="str">
        <f t="shared" si="47"/>
        <v>N</v>
      </c>
      <c r="AN89" s="13">
        <f t="shared" si="48"/>
        <v>0</v>
      </c>
      <c r="AO89" s="13" t="str">
        <f t="shared" si="49"/>
        <v>N</v>
      </c>
      <c r="AP89" s="13">
        <f t="shared" si="50"/>
        <v>72.5</v>
      </c>
      <c r="AQ89" s="13">
        <f t="shared" si="51"/>
        <v>0</v>
      </c>
      <c r="AR89" s="13">
        <f t="shared" si="52"/>
        <v>0</v>
      </c>
      <c r="AS89" s="9">
        <f t="shared" si="9"/>
        <v>2</v>
      </c>
      <c r="AT89" s="9">
        <f t="shared" si="10"/>
        <v>27</v>
      </c>
      <c r="AU89" s="9">
        <f t="shared" si="11"/>
        <v>0</v>
      </c>
      <c r="AV89" s="13">
        <f t="shared" si="12"/>
        <v>5.69</v>
      </c>
      <c r="AW89" s="13">
        <f t="shared" si="13"/>
        <v>0</v>
      </c>
      <c r="AX89" s="9">
        <f t="shared" si="14"/>
        <v>1</v>
      </c>
      <c r="AY89" s="9">
        <f t="shared" si="15"/>
        <v>7</v>
      </c>
      <c r="AZ89" s="28">
        <f t="shared" si="53"/>
        <v>39.830000000000005</v>
      </c>
      <c r="BA89" s="9">
        <f t="shared" si="16"/>
        <v>1</v>
      </c>
      <c r="BB89" s="9">
        <f t="shared" si="17"/>
        <v>2</v>
      </c>
      <c r="BC89" s="28">
        <f t="shared" si="54"/>
        <v>11.38</v>
      </c>
      <c r="BD89" s="28">
        <f t="shared" si="55"/>
        <v>51.210000000000008</v>
      </c>
      <c r="BE89" s="13">
        <f t="shared" si="18"/>
        <v>81</v>
      </c>
      <c r="BF89" s="13">
        <f t="shared" si="19"/>
        <v>54</v>
      </c>
      <c r="BG89" s="28">
        <f t="shared" si="56"/>
        <v>135</v>
      </c>
    </row>
    <row r="90" spans="1:59" x14ac:dyDescent="0.2">
      <c r="A90" s="8">
        <f t="shared" si="57"/>
        <v>28</v>
      </c>
      <c r="B90" s="26">
        <f t="shared" si="0"/>
        <v>700</v>
      </c>
      <c r="C90" s="26">
        <f t="shared" si="20"/>
        <v>0</v>
      </c>
      <c r="D90" s="26">
        <f t="shared" si="21"/>
        <v>700</v>
      </c>
      <c r="E90" s="27">
        <f t="shared" si="22"/>
        <v>169.64999999999998</v>
      </c>
      <c r="F90" s="26">
        <f t="shared" si="23"/>
        <v>869.65</v>
      </c>
      <c r="G90" s="26">
        <f t="shared" si="24"/>
        <v>45221.799999999996</v>
      </c>
      <c r="H90" s="26">
        <f t="shared" si="25"/>
        <v>7423.8149999999987</v>
      </c>
      <c r="I90" s="26">
        <f t="shared" si="26"/>
        <v>37797.985000000001</v>
      </c>
      <c r="J90" s="26">
        <f t="shared" si="27"/>
        <v>726.88432692307697</v>
      </c>
      <c r="K90" s="26">
        <f t="shared" si="28"/>
        <v>585.08483740143026</v>
      </c>
      <c r="L90" s="26">
        <f t="shared" si="29"/>
        <v>141.79948952164662</v>
      </c>
      <c r="M90" s="26">
        <f t="shared" si="30"/>
        <v>129.06562500000001</v>
      </c>
      <c r="N90" s="27">
        <f t="shared" si="31"/>
        <v>167.64449999999999</v>
      </c>
      <c r="O90" s="27">
        <f t="shared" si="32"/>
        <v>62.59</v>
      </c>
      <c r="P90" s="26">
        <f t="shared" si="33"/>
        <v>1086.1844519230769</v>
      </c>
      <c r="Q90" s="26">
        <f t="shared" si="34"/>
        <v>56481.591500000002</v>
      </c>
      <c r="R90" s="16">
        <f t="shared" si="35"/>
        <v>0.3782999999999993</v>
      </c>
      <c r="S90" s="26">
        <f t="shared" si="36"/>
        <v>70991.59150000001</v>
      </c>
      <c r="T90" s="27">
        <f t="shared" si="37"/>
        <v>150</v>
      </c>
      <c r="U90" s="26">
        <f t="shared" si="1"/>
        <v>936.18445192307695</v>
      </c>
      <c r="V90" s="16">
        <f t="shared" si="58"/>
        <v>0.97829999999999928</v>
      </c>
      <c r="W90" s="28">
        <f t="shared" si="2"/>
        <v>511.65</v>
      </c>
      <c r="X90" s="29">
        <f t="shared" si="38"/>
        <v>27</v>
      </c>
      <c r="Y90" s="29">
        <f t="shared" si="39"/>
        <v>315</v>
      </c>
      <c r="Z90" s="29">
        <f t="shared" si="40"/>
        <v>342</v>
      </c>
      <c r="AA90" s="28">
        <f t="shared" si="41"/>
        <v>169.64999999999998</v>
      </c>
      <c r="AB90" s="28">
        <f t="shared" si="42"/>
        <v>127.91249999999999</v>
      </c>
      <c r="AC90" s="28">
        <f t="shared" si="3"/>
        <v>172.08750000000001</v>
      </c>
      <c r="AD90" s="28">
        <f t="shared" si="43"/>
        <v>129.06562500000001</v>
      </c>
      <c r="AE90" s="13">
        <f t="shared" si="4"/>
        <v>129.06562500000001</v>
      </c>
      <c r="AF90" s="13">
        <f t="shared" si="5"/>
        <v>0</v>
      </c>
      <c r="AG90" s="13">
        <f t="shared" si="44"/>
        <v>129.06562500000001</v>
      </c>
      <c r="AH90" s="28">
        <f t="shared" si="6"/>
        <v>231.81</v>
      </c>
      <c r="AI90" s="13">
        <f t="shared" si="7"/>
        <v>237.64999999999998</v>
      </c>
      <c r="AJ90" s="28">
        <f t="shared" si="8"/>
        <v>64.165499999999994</v>
      </c>
      <c r="AK90" s="13">
        <f t="shared" si="45"/>
        <v>167.64449999999999</v>
      </c>
      <c r="AL90" s="47">
        <f t="shared" si="46"/>
        <v>28</v>
      </c>
      <c r="AM90" s="13" t="str">
        <f t="shared" si="47"/>
        <v>N</v>
      </c>
      <c r="AN90" s="13">
        <f t="shared" si="48"/>
        <v>0</v>
      </c>
      <c r="AO90" s="13" t="str">
        <f t="shared" si="49"/>
        <v>N</v>
      </c>
      <c r="AP90" s="13">
        <f t="shared" si="50"/>
        <v>72.5</v>
      </c>
      <c r="AQ90" s="13">
        <f t="shared" si="51"/>
        <v>0</v>
      </c>
      <c r="AR90" s="13">
        <f t="shared" si="52"/>
        <v>0</v>
      </c>
      <c r="AS90" s="9">
        <f t="shared" si="9"/>
        <v>2</v>
      </c>
      <c r="AT90" s="9">
        <f t="shared" si="10"/>
        <v>28</v>
      </c>
      <c r="AU90" s="9">
        <f t="shared" si="11"/>
        <v>0</v>
      </c>
      <c r="AV90" s="13">
        <f t="shared" si="12"/>
        <v>5.69</v>
      </c>
      <c r="AW90" s="13">
        <f t="shared" si="13"/>
        <v>0</v>
      </c>
      <c r="AX90" s="9">
        <f t="shared" si="14"/>
        <v>1</v>
      </c>
      <c r="AY90" s="9">
        <f t="shared" si="15"/>
        <v>8</v>
      </c>
      <c r="AZ90" s="28">
        <f t="shared" si="53"/>
        <v>45.52</v>
      </c>
      <c r="BA90" s="9">
        <f t="shared" si="16"/>
        <v>1</v>
      </c>
      <c r="BB90" s="9">
        <f t="shared" si="17"/>
        <v>3</v>
      </c>
      <c r="BC90" s="28">
        <f t="shared" si="54"/>
        <v>17.07</v>
      </c>
      <c r="BD90" s="28">
        <f t="shared" si="55"/>
        <v>62.59</v>
      </c>
      <c r="BE90" s="13">
        <f t="shared" si="18"/>
        <v>84</v>
      </c>
      <c r="BF90" s="13">
        <f t="shared" si="19"/>
        <v>66</v>
      </c>
      <c r="BG90" s="28">
        <f t="shared" si="56"/>
        <v>150</v>
      </c>
    </row>
    <row r="91" spans="1:59" x14ac:dyDescent="0.2">
      <c r="A91" s="8">
        <f t="shared" si="57"/>
        <v>29</v>
      </c>
      <c r="B91" s="26">
        <f t="shared" si="0"/>
        <v>725</v>
      </c>
      <c r="C91" s="26">
        <f t="shared" si="20"/>
        <v>0</v>
      </c>
      <c r="D91" s="26">
        <f t="shared" si="21"/>
        <v>725</v>
      </c>
      <c r="E91" s="27">
        <f t="shared" si="22"/>
        <v>152.14999999999998</v>
      </c>
      <c r="F91" s="26">
        <f t="shared" si="23"/>
        <v>877.15</v>
      </c>
      <c r="G91" s="26">
        <f t="shared" si="24"/>
        <v>45611.799999999996</v>
      </c>
      <c r="H91" s="26">
        <f t="shared" si="25"/>
        <v>7492.0649999999987</v>
      </c>
      <c r="I91" s="26">
        <f t="shared" si="26"/>
        <v>38119.735000000001</v>
      </c>
      <c r="J91" s="26">
        <f t="shared" si="27"/>
        <v>733.07182692307697</v>
      </c>
      <c r="K91" s="26">
        <f t="shared" si="28"/>
        <v>605.91355471610427</v>
      </c>
      <c r="L91" s="26">
        <f t="shared" si="29"/>
        <v>127.15827220697275</v>
      </c>
      <c r="M91" s="26">
        <f t="shared" si="30"/>
        <v>129.06562500000001</v>
      </c>
      <c r="N91" s="27">
        <f t="shared" si="31"/>
        <v>165.61950000000002</v>
      </c>
      <c r="O91" s="27">
        <f t="shared" si="32"/>
        <v>73.97</v>
      </c>
      <c r="P91" s="26">
        <f t="shared" si="33"/>
        <v>1101.726951923077</v>
      </c>
      <c r="Q91" s="26">
        <f t="shared" si="34"/>
        <v>57289.801500000001</v>
      </c>
      <c r="R91" s="16">
        <f t="shared" si="35"/>
        <v>0.3782999999999993</v>
      </c>
      <c r="S91" s="26">
        <f t="shared" si="36"/>
        <v>71799.801500000001</v>
      </c>
      <c r="T91" s="27">
        <f t="shared" si="37"/>
        <v>165</v>
      </c>
      <c r="U91" s="26">
        <f t="shared" si="1"/>
        <v>936.72695192307697</v>
      </c>
      <c r="V91" s="16">
        <f t="shared" si="58"/>
        <v>0.97829999999999928</v>
      </c>
      <c r="W91" s="28">
        <f t="shared" si="2"/>
        <v>511.65</v>
      </c>
      <c r="X91" s="29">
        <f t="shared" si="38"/>
        <v>27</v>
      </c>
      <c r="Y91" s="29">
        <f t="shared" si="39"/>
        <v>332.5</v>
      </c>
      <c r="Z91" s="29">
        <f t="shared" si="40"/>
        <v>359.5</v>
      </c>
      <c r="AA91" s="28">
        <f t="shared" si="41"/>
        <v>152.14999999999998</v>
      </c>
      <c r="AB91" s="28">
        <f t="shared" si="42"/>
        <v>127.91249999999999</v>
      </c>
      <c r="AC91" s="28">
        <f t="shared" si="3"/>
        <v>172.08750000000001</v>
      </c>
      <c r="AD91" s="28">
        <f t="shared" si="43"/>
        <v>129.06562500000001</v>
      </c>
      <c r="AE91" s="13">
        <f t="shared" si="4"/>
        <v>129.06562500000001</v>
      </c>
      <c r="AF91" s="13">
        <f t="shared" si="5"/>
        <v>0</v>
      </c>
      <c r="AG91" s="13">
        <f t="shared" si="44"/>
        <v>129.06562500000001</v>
      </c>
      <c r="AH91" s="28">
        <f t="shared" si="6"/>
        <v>231.81</v>
      </c>
      <c r="AI91" s="13">
        <f t="shared" si="7"/>
        <v>245.14999999999998</v>
      </c>
      <c r="AJ91" s="28">
        <f t="shared" si="8"/>
        <v>66.1905</v>
      </c>
      <c r="AK91" s="13">
        <f t="shared" si="45"/>
        <v>165.61950000000002</v>
      </c>
      <c r="AL91" s="47">
        <f t="shared" si="46"/>
        <v>29</v>
      </c>
      <c r="AM91" s="13" t="str">
        <f t="shared" si="47"/>
        <v>N</v>
      </c>
      <c r="AN91" s="13">
        <f t="shared" si="48"/>
        <v>0</v>
      </c>
      <c r="AO91" s="13" t="str">
        <f t="shared" si="49"/>
        <v>N</v>
      </c>
      <c r="AP91" s="13">
        <f t="shared" si="50"/>
        <v>72.5</v>
      </c>
      <c r="AQ91" s="13">
        <f t="shared" si="51"/>
        <v>0</v>
      </c>
      <c r="AR91" s="13">
        <f t="shared" si="52"/>
        <v>0</v>
      </c>
      <c r="AS91" s="9">
        <f t="shared" si="9"/>
        <v>2</v>
      </c>
      <c r="AT91" s="9">
        <f t="shared" si="10"/>
        <v>29</v>
      </c>
      <c r="AU91" s="9">
        <f t="shared" si="11"/>
        <v>0</v>
      </c>
      <c r="AV91" s="13">
        <f t="shared" si="12"/>
        <v>5.69</v>
      </c>
      <c r="AW91" s="13">
        <f t="shared" si="13"/>
        <v>0</v>
      </c>
      <c r="AX91" s="9">
        <f t="shared" si="14"/>
        <v>1</v>
      </c>
      <c r="AY91" s="9">
        <f t="shared" si="15"/>
        <v>9</v>
      </c>
      <c r="AZ91" s="28">
        <f t="shared" si="53"/>
        <v>51.21</v>
      </c>
      <c r="BA91" s="9">
        <f t="shared" si="16"/>
        <v>1</v>
      </c>
      <c r="BB91" s="9">
        <f t="shared" si="17"/>
        <v>4</v>
      </c>
      <c r="BC91" s="28">
        <f t="shared" si="54"/>
        <v>22.76</v>
      </c>
      <c r="BD91" s="28">
        <f t="shared" si="55"/>
        <v>73.97</v>
      </c>
      <c r="BE91" s="13">
        <f t="shared" si="18"/>
        <v>87</v>
      </c>
      <c r="BF91" s="13">
        <f t="shared" si="19"/>
        <v>78</v>
      </c>
      <c r="BG91" s="28">
        <f t="shared" si="56"/>
        <v>165</v>
      </c>
    </row>
    <row r="92" spans="1:59" x14ac:dyDescent="0.2">
      <c r="A92" s="8">
        <f t="shared" si="57"/>
        <v>30</v>
      </c>
      <c r="B92" s="26">
        <f t="shared" si="0"/>
        <v>750</v>
      </c>
      <c r="C92" s="26">
        <f t="shared" si="20"/>
        <v>0</v>
      </c>
      <c r="D92" s="26">
        <f t="shared" si="21"/>
        <v>750</v>
      </c>
      <c r="E92" s="27">
        <f t="shared" si="22"/>
        <v>134.64999999999998</v>
      </c>
      <c r="F92" s="26">
        <f t="shared" si="23"/>
        <v>884.65</v>
      </c>
      <c r="G92" s="26">
        <f t="shared" si="24"/>
        <v>46001.799999999996</v>
      </c>
      <c r="H92" s="26">
        <f t="shared" si="25"/>
        <v>7560.3149999999987</v>
      </c>
      <c r="I92" s="26">
        <f t="shared" si="26"/>
        <v>38441.485000000001</v>
      </c>
      <c r="J92" s="26">
        <f t="shared" si="27"/>
        <v>739.25932692307697</v>
      </c>
      <c r="K92" s="26">
        <f t="shared" si="28"/>
        <v>626.73881782886758</v>
      </c>
      <c r="L92" s="26">
        <f t="shared" si="29"/>
        <v>112.52050909420934</v>
      </c>
      <c r="M92" s="26">
        <f t="shared" si="30"/>
        <v>129.06562500000001</v>
      </c>
      <c r="N92" s="27">
        <f t="shared" si="31"/>
        <v>163.59450000000001</v>
      </c>
      <c r="O92" s="27">
        <f t="shared" si="32"/>
        <v>85.350000000000009</v>
      </c>
      <c r="P92" s="26">
        <f t="shared" si="33"/>
        <v>1117.2694519230768</v>
      </c>
      <c r="Q92" s="26">
        <f t="shared" si="34"/>
        <v>58098.011499999993</v>
      </c>
      <c r="R92" s="16">
        <f t="shared" si="35"/>
        <v>0.37830000000000841</v>
      </c>
      <c r="S92" s="26">
        <f t="shared" si="36"/>
        <v>72608.011499999993</v>
      </c>
      <c r="T92" s="27">
        <f t="shared" si="37"/>
        <v>180</v>
      </c>
      <c r="U92" s="26">
        <f t="shared" si="1"/>
        <v>937.26945192307676</v>
      </c>
      <c r="V92" s="16">
        <f t="shared" si="58"/>
        <v>0.97830000000000839</v>
      </c>
      <c r="W92" s="28">
        <f t="shared" si="2"/>
        <v>511.65</v>
      </c>
      <c r="X92" s="29">
        <f t="shared" si="38"/>
        <v>27</v>
      </c>
      <c r="Y92" s="29">
        <f t="shared" si="39"/>
        <v>350</v>
      </c>
      <c r="Z92" s="29">
        <f t="shared" si="40"/>
        <v>377</v>
      </c>
      <c r="AA92" s="28">
        <f t="shared" si="41"/>
        <v>134.64999999999998</v>
      </c>
      <c r="AB92" s="28">
        <f t="shared" si="42"/>
        <v>127.91249999999999</v>
      </c>
      <c r="AC92" s="28">
        <f t="shared" si="3"/>
        <v>172.08750000000001</v>
      </c>
      <c r="AD92" s="28">
        <f t="shared" si="43"/>
        <v>129.06562500000001</v>
      </c>
      <c r="AE92" s="13">
        <f t="shared" si="4"/>
        <v>129.06562500000001</v>
      </c>
      <c r="AF92" s="13">
        <f t="shared" si="5"/>
        <v>0</v>
      </c>
      <c r="AG92" s="13">
        <f t="shared" si="44"/>
        <v>129.06562500000001</v>
      </c>
      <c r="AH92" s="28">
        <f t="shared" si="6"/>
        <v>231.81</v>
      </c>
      <c r="AI92" s="13">
        <f t="shared" si="7"/>
        <v>252.64999999999998</v>
      </c>
      <c r="AJ92" s="28">
        <f t="shared" si="8"/>
        <v>68.215499999999992</v>
      </c>
      <c r="AK92" s="13">
        <f t="shared" si="45"/>
        <v>163.59450000000001</v>
      </c>
      <c r="AL92" s="47">
        <f t="shared" si="46"/>
        <v>30</v>
      </c>
      <c r="AM92" s="13" t="str">
        <f t="shared" si="47"/>
        <v>N</v>
      </c>
      <c r="AN92" s="13">
        <f t="shared" si="48"/>
        <v>0</v>
      </c>
      <c r="AO92" s="13" t="str">
        <f t="shared" si="49"/>
        <v>N</v>
      </c>
      <c r="AP92" s="13">
        <f t="shared" si="50"/>
        <v>72.5</v>
      </c>
      <c r="AQ92" s="13">
        <f t="shared" si="51"/>
        <v>0</v>
      </c>
      <c r="AR92" s="13">
        <f t="shared" si="52"/>
        <v>0</v>
      </c>
      <c r="AS92" s="9">
        <f t="shared" si="9"/>
        <v>2</v>
      </c>
      <c r="AT92" s="9">
        <f t="shared" si="10"/>
        <v>30</v>
      </c>
      <c r="AU92" s="9">
        <f t="shared" si="11"/>
        <v>0</v>
      </c>
      <c r="AV92" s="13">
        <f t="shared" si="12"/>
        <v>5.69</v>
      </c>
      <c r="AW92" s="13">
        <f t="shared" si="13"/>
        <v>0</v>
      </c>
      <c r="AX92" s="9">
        <f t="shared" si="14"/>
        <v>1</v>
      </c>
      <c r="AY92" s="9">
        <f t="shared" si="15"/>
        <v>10</v>
      </c>
      <c r="AZ92" s="28">
        <f t="shared" si="53"/>
        <v>56.900000000000006</v>
      </c>
      <c r="BA92" s="9">
        <f t="shared" si="16"/>
        <v>1</v>
      </c>
      <c r="BB92" s="9">
        <f t="shared" si="17"/>
        <v>5</v>
      </c>
      <c r="BC92" s="28">
        <f t="shared" si="54"/>
        <v>28.450000000000003</v>
      </c>
      <c r="BD92" s="28">
        <f t="shared" si="55"/>
        <v>85.350000000000009</v>
      </c>
      <c r="BE92" s="13">
        <f t="shared" si="18"/>
        <v>90</v>
      </c>
      <c r="BF92" s="13">
        <f t="shared" si="19"/>
        <v>90</v>
      </c>
      <c r="BG92" s="28">
        <f t="shared" si="56"/>
        <v>180</v>
      </c>
    </row>
    <row r="93" spans="1:59" x14ac:dyDescent="0.2">
      <c r="A93" s="8">
        <f t="shared" si="57"/>
        <v>31</v>
      </c>
      <c r="B93" s="26">
        <f t="shared" si="0"/>
        <v>775</v>
      </c>
      <c r="C93" s="26">
        <f t="shared" si="20"/>
        <v>0</v>
      </c>
      <c r="D93" s="26">
        <f t="shared" si="21"/>
        <v>775</v>
      </c>
      <c r="E93" s="27">
        <f t="shared" si="22"/>
        <v>117.14999999999998</v>
      </c>
      <c r="F93" s="26">
        <f t="shared" si="23"/>
        <v>892.15</v>
      </c>
      <c r="G93" s="26">
        <f t="shared" si="24"/>
        <v>46391.799999999996</v>
      </c>
      <c r="H93" s="26">
        <f t="shared" si="25"/>
        <v>7628.5649999999987</v>
      </c>
      <c r="I93" s="26">
        <f t="shared" si="26"/>
        <v>38763.235000000001</v>
      </c>
      <c r="J93" s="26">
        <f t="shared" si="27"/>
        <v>745.44682692307697</v>
      </c>
      <c r="K93" s="26">
        <f t="shared" si="28"/>
        <v>647.56071385460359</v>
      </c>
      <c r="L93" s="26">
        <f t="shared" si="29"/>
        <v>97.886113068473293</v>
      </c>
      <c r="M93" s="26">
        <f t="shared" si="30"/>
        <v>129.06562500000001</v>
      </c>
      <c r="N93" s="27">
        <f t="shared" si="31"/>
        <v>161.56950000000001</v>
      </c>
      <c r="O93" s="27">
        <f t="shared" si="32"/>
        <v>96.73</v>
      </c>
      <c r="P93" s="26">
        <f t="shared" si="33"/>
        <v>1132.811951923077</v>
      </c>
      <c r="Q93" s="26">
        <f t="shared" si="34"/>
        <v>58906.221500000007</v>
      </c>
      <c r="R93" s="16">
        <f t="shared" si="35"/>
        <v>0.3782999999999902</v>
      </c>
      <c r="S93" s="26">
        <f t="shared" si="36"/>
        <v>73416.221500000014</v>
      </c>
      <c r="T93" s="27">
        <f t="shared" si="37"/>
        <v>195</v>
      </c>
      <c r="U93" s="26">
        <f t="shared" si="1"/>
        <v>937.811951923077</v>
      </c>
      <c r="V93" s="16">
        <f t="shared" si="58"/>
        <v>0.97829999999999018</v>
      </c>
      <c r="W93" s="28">
        <f t="shared" si="2"/>
        <v>511.65</v>
      </c>
      <c r="X93" s="29">
        <f t="shared" si="38"/>
        <v>27</v>
      </c>
      <c r="Y93" s="29">
        <f t="shared" si="39"/>
        <v>367.5</v>
      </c>
      <c r="Z93" s="29">
        <f t="shared" si="40"/>
        <v>394.5</v>
      </c>
      <c r="AA93" s="28">
        <f t="shared" si="41"/>
        <v>117.14999999999998</v>
      </c>
      <c r="AB93" s="28">
        <f t="shared" si="42"/>
        <v>127.91249999999999</v>
      </c>
      <c r="AC93" s="28">
        <f t="shared" si="3"/>
        <v>172.08750000000001</v>
      </c>
      <c r="AD93" s="28">
        <f t="shared" si="43"/>
        <v>129.06562500000001</v>
      </c>
      <c r="AE93" s="13">
        <f t="shared" si="4"/>
        <v>129.06562500000001</v>
      </c>
      <c r="AF93" s="13">
        <f t="shared" si="5"/>
        <v>0</v>
      </c>
      <c r="AG93" s="13">
        <f t="shared" si="44"/>
        <v>129.06562500000001</v>
      </c>
      <c r="AH93" s="28">
        <f t="shared" si="6"/>
        <v>231.81</v>
      </c>
      <c r="AI93" s="13">
        <f t="shared" si="7"/>
        <v>260.14999999999998</v>
      </c>
      <c r="AJ93" s="28">
        <f t="shared" si="8"/>
        <v>70.240499999999997</v>
      </c>
      <c r="AK93" s="13">
        <f t="shared" si="45"/>
        <v>161.56950000000001</v>
      </c>
      <c r="AL93" s="47">
        <f t="shared" si="46"/>
        <v>31</v>
      </c>
      <c r="AM93" s="13" t="str">
        <f t="shared" si="47"/>
        <v>N</v>
      </c>
      <c r="AN93" s="13">
        <f t="shared" si="48"/>
        <v>0</v>
      </c>
      <c r="AO93" s="13" t="str">
        <f t="shared" si="49"/>
        <v>N</v>
      </c>
      <c r="AP93" s="13">
        <f t="shared" si="50"/>
        <v>72.5</v>
      </c>
      <c r="AQ93" s="13">
        <f t="shared" si="51"/>
        <v>0</v>
      </c>
      <c r="AR93" s="13">
        <f t="shared" si="52"/>
        <v>0</v>
      </c>
      <c r="AS93" s="9">
        <f t="shared" si="9"/>
        <v>2</v>
      </c>
      <c r="AT93" s="9">
        <f t="shared" si="10"/>
        <v>31</v>
      </c>
      <c r="AU93" s="9">
        <f t="shared" si="11"/>
        <v>0</v>
      </c>
      <c r="AV93" s="13">
        <f t="shared" si="12"/>
        <v>5.69</v>
      </c>
      <c r="AW93" s="13">
        <f t="shared" si="13"/>
        <v>0</v>
      </c>
      <c r="AX93" s="9">
        <f t="shared" si="14"/>
        <v>1</v>
      </c>
      <c r="AY93" s="9">
        <f t="shared" si="15"/>
        <v>11</v>
      </c>
      <c r="AZ93" s="28">
        <f t="shared" si="53"/>
        <v>62.59</v>
      </c>
      <c r="BA93" s="9">
        <f t="shared" si="16"/>
        <v>1</v>
      </c>
      <c r="BB93" s="9">
        <f t="shared" si="17"/>
        <v>6</v>
      </c>
      <c r="BC93" s="28">
        <f t="shared" si="54"/>
        <v>34.14</v>
      </c>
      <c r="BD93" s="28">
        <f t="shared" si="55"/>
        <v>96.73</v>
      </c>
      <c r="BE93" s="13">
        <f t="shared" si="18"/>
        <v>93</v>
      </c>
      <c r="BF93" s="13">
        <f t="shared" si="19"/>
        <v>102</v>
      </c>
      <c r="BG93" s="28">
        <f t="shared" si="56"/>
        <v>195</v>
      </c>
    </row>
    <row r="94" spans="1:59" x14ac:dyDescent="0.2">
      <c r="A94" s="8">
        <f t="shared" si="57"/>
        <v>32</v>
      </c>
      <c r="B94" s="26">
        <f t="shared" ref="B94:B122" si="59">A94*B$57</f>
        <v>800</v>
      </c>
      <c r="C94" s="26">
        <f t="shared" si="20"/>
        <v>0</v>
      </c>
      <c r="D94" s="26">
        <f t="shared" si="21"/>
        <v>800</v>
      </c>
      <c r="E94" s="27">
        <f t="shared" si="22"/>
        <v>99.649999999999977</v>
      </c>
      <c r="F94" s="26">
        <f t="shared" si="23"/>
        <v>899.65</v>
      </c>
      <c r="G94" s="26">
        <f t="shared" si="24"/>
        <v>46781.799999999996</v>
      </c>
      <c r="H94" s="26">
        <f t="shared" si="25"/>
        <v>7696.8149999999987</v>
      </c>
      <c r="I94" s="26">
        <f t="shared" si="26"/>
        <v>39084.985000000001</v>
      </c>
      <c r="J94" s="26">
        <f t="shared" si="27"/>
        <v>751.63432692307697</v>
      </c>
      <c r="K94" s="26">
        <f t="shared" si="28"/>
        <v>668.37932700323643</v>
      </c>
      <c r="L94" s="26">
        <f t="shared" si="29"/>
        <v>83.254999919840614</v>
      </c>
      <c r="M94" s="26">
        <f t="shared" si="30"/>
        <v>129.06562500000001</v>
      </c>
      <c r="N94" s="27">
        <f t="shared" si="31"/>
        <v>159.5445</v>
      </c>
      <c r="O94" s="27">
        <f t="shared" si="32"/>
        <v>108.11000000000001</v>
      </c>
      <c r="P94" s="26">
        <f t="shared" si="33"/>
        <v>1148.3544519230768</v>
      </c>
      <c r="Q94" s="26">
        <f t="shared" si="34"/>
        <v>59714.431499999992</v>
      </c>
      <c r="R94" s="16">
        <f t="shared" si="35"/>
        <v>0.37830000000000841</v>
      </c>
      <c r="S94" s="26">
        <f t="shared" si="36"/>
        <v>74224.431499999992</v>
      </c>
      <c r="T94" s="27">
        <f t="shared" si="37"/>
        <v>210</v>
      </c>
      <c r="U94" s="26">
        <f t="shared" ref="U94:U122" si="60">P94-T94</f>
        <v>938.35445192307679</v>
      </c>
      <c r="V94" s="16">
        <f t="shared" si="58"/>
        <v>0.97830000000000839</v>
      </c>
      <c r="W94" s="28">
        <f t="shared" ref="W94:W122" si="61">B$21</f>
        <v>511.65</v>
      </c>
      <c r="X94" s="29">
        <f t="shared" si="38"/>
        <v>27</v>
      </c>
      <c r="Y94" s="29">
        <f t="shared" si="39"/>
        <v>385</v>
      </c>
      <c r="Z94" s="29">
        <f t="shared" si="40"/>
        <v>412</v>
      </c>
      <c r="AA94" s="28">
        <f t="shared" si="41"/>
        <v>99.649999999999977</v>
      </c>
      <c r="AB94" s="28">
        <f t="shared" si="42"/>
        <v>127.91249999999999</v>
      </c>
      <c r="AC94" s="28">
        <f t="shared" ref="AC94:AC122" si="62">B$9-AB94</f>
        <v>172.08750000000001</v>
      </c>
      <c r="AD94" s="28">
        <f t="shared" si="43"/>
        <v>129.06562500000001</v>
      </c>
      <c r="AE94" s="13">
        <f t="shared" ref="AE94:AE122" si="63">IF(AD94&gt;B$22,B$22,AD94)</f>
        <v>129.06562500000001</v>
      </c>
      <c r="AF94" s="13">
        <f t="shared" ref="AF94:AF122" si="64">IF(F94&lt;B$27,0,F94-B$27)</f>
        <v>0</v>
      </c>
      <c r="AG94" s="13">
        <f t="shared" si="44"/>
        <v>129.06562500000001</v>
      </c>
      <c r="AH94" s="28">
        <f t="shared" ref="AH94:AH122" si="65">B$28</f>
        <v>231.81</v>
      </c>
      <c r="AI94" s="13">
        <f t="shared" ref="AI94:AI122" si="66">IF(F94&gt;B$29,F94-B$29,0)</f>
        <v>267.64999999999998</v>
      </c>
      <c r="AJ94" s="28">
        <f t="shared" ref="AJ94:AJ122" si="67">AI94*B$30</f>
        <v>72.265500000000003</v>
      </c>
      <c r="AK94" s="13">
        <f t="shared" si="45"/>
        <v>159.5445</v>
      </c>
      <c r="AL94" s="47">
        <f t="shared" si="46"/>
        <v>32</v>
      </c>
      <c r="AM94" s="13" t="str">
        <f t="shared" si="47"/>
        <v>N</v>
      </c>
      <c r="AN94" s="13">
        <f t="shared" si="48"/>
        <v>0</v>
      </c>
      <c r="AO94" s="13" t="str">
        <f t="shared" si="49"/>
        <v>N</v>
      </c>
      <c r="AP94" s="13">
        <f t="shared" si="50"/>
        <v>72.5</v>
      </c>
      <c r="AQ94" s="13">
        <f t="shared" si="51"/>
        <v>0</v>
      </c>
      <c r="AR94" s="13">
        <f t="shared" si="52"/>
        <v>0</v>
      </c>
      <c r="AS94" s="9">
        <f t="shared" ref="AS94:AS122" si="68">B$14</f>
        <v>2</v>
      </c>
      <c r="AT94" s="9">
        <f t="shared" ref="AT94:AT122" si="69">IF(B$15="Couple",0,MIN(A94,50))</f>
        <v>32</v>
      </c>
      <c r="AU94" s="9">
        <f t="shared" ref="AU94:AU122" si="70">B$3</f>
        <v>0</v>
      </c>
      <c r="AV94" s="13">
        <f t="shared" ref="AV94:AV122" si="71">IF(F94&lt;B$45,B$49,IF(F94&lt;B$46,B$50,IF(F94&lt;B$47,B$51,IF(F94&lt;B$48,B$52,0))))</f>
        <v>5.69</v>
      </c>
      <c r="AW94" s="13">
        <f t="shared" ref="AW94:AW122" si="72">AT94*AU94*AV94</f>
        <v>0</v>
      </c>
      <c r="AX94" s="9">
        <f t="shared" ref="AX94:AX122" si="73">B$4</f>
        <v>1</v>
      </c>
      <c r="AY94" s="9">
        <f t="shared" ref="AY94:AY122" si="74">IF(B$15="Couple",0,IF(A94&lt;20,0,IF((A94-25)&gt;25,25,A94-20)))</f>
        <v>12</v>
      </c>
      <c r="AZ94" s="28">
        <f t="shared" si="53"/>
        <v>68.28</v>
      </c>
      <c r="BA94" s="9">
        <f t="shared" ref="BA94:BA122" si="75">B$5</f>
        <v>1</v>
      </c>
      <c r="BB94" s="9">
        <f t="shared" ref="BB94:BB122" si="76">IF(B$15="Couple",0,IF(A94&lt;25,0,IF((A94-25)&gt;20,20,A94-25)))</f>
        <v>7</v>
      </c>
      <c r="BC94" s="28">
        <f t="shared" si="54"/>
        <v>39.830000000000005</v>
      </c>
      <c r="BD94" s="28">
        <f t="shared" si="55"/>
        <v>108.11000000000001</v>
      </c>
      <c r="BE94" s="13">
        <f t="shared" ref="BE94:BE122" si="77">B$54*A94</f>
        <v>96</v>
      </c>
      <c r="BF94" s="13">
        <f t="shared" ref="BF94:BF122" si="78">B$53*(BB94*BA94+AX94*AY94+AU94*AT94)</f>
        <v>114</v>
      </c>
      <c r="BG94" s="28">
        <f t="shared" si="56"/>
        <v>210</v>
      </c>
    </row>
    <row r="95" spans="1:59" x14ac:dyDescent="0.2">
      <c r="A95" s="8">
        <f t="shared" si="57"/>
        <v>33</v>
      </c>
      <c r="B95" s="26">
        <f t="shared" si="59"/>
        <v>825</v>
      </c>
      <c r="C95" s="26">
        <f t="shared" si="20"/>
        <v>0</v>
      </c>
      <c r="D95" s="26">
        <f t="shared" si="21"/>
        <v>825</v>
      </c>
      <c r="E95" s="27">
        <f t="shared" si="22"/>
        <v>82.149999999999977</v>
      </c>
      <c r="F95" s="26">
        <f t="shared" si="23"/>
        <v>907.15</v>
      </c>
      <c r="G95" s="26">
        <f t="shared" si="24"/>
        <v>47171.799999999996</v>
      </c>
      <c r="H95" s="26">
        <f t="shared" si="25"/>
        <v>7765.0649999999987</v>
      </c>
      <c r="I95" s="26">
        <f t="shared" si="26"/>
        <v>39406.735000000001</v>
      </c>
      <c r="J95" s="26">
        <f t="shared" si="27"/>
        <v>757.82182692307697</v>
      </c>
      <c r="K95" s="26">
        <f t="shared" si="28"/>
        <v>689.19473869981653</v>
      </c>
      <c r="L95" s="26">
        <f t="shared" si="29"/>
        <v>68.627088223260486</v>
      </c>
      <c r="M95" s="26">
        <f t="shared" si="30"/>
        <v>129.06562500000001</v>
      </c>
      <c r="N95" s="27">
        <f t="shared" si="31"/>
        <v>157.51949999999999</v>
      </c>
      <c r="O95" s="27">
        <f t="shared" si="32"/>
        <v>119.49000000000001</v>
      </c>
      <c r="P95" s="26">
        <f t="shared" si="33"/>
        <v>1163.896951923077</v>
      </c>
      <c r="Q95" s="26">
        <f t="shared" si="34"/>
        <v>60522.641500000005</v>
      </c>
      <c r="R95" s="16">
        <f t="shared" ref="R95:R122" si="79">1-(P95-P94)/(B95-B94)</f>
        <v>0.3782999999999902</v>
      </c>
      <c r="S95" s="26">
        <f t="shared" si="36"/>
        <v>75032.641499999998</v>
      </c>
      <c r="T95" s="27">
        <f t="shared" si="37"/>
        <v>225</v>
      </c>
      <c r="U95" s="26">
        <f t="shared" si="60"/>
        <v>938.89695192307704</v>
      </c>
      <c r="V95" s="16">
        <f t="shared" si="58"/>
        <v>0.97829999999999018</v>
      </c>
      <c r="W95" s="28">
        <f t="shared" si="61"/>
        <v>511.65</v>
      </c>
      <c r="X95" s="29">
        <f t="shared" si="38"/>
        <v>27</v>
      </c>
      <c r="Y95" s="29">
        <f t="shared" si="39"/>
        <v>402.5</v>
      </c>
      <c r="Z95" s="29">
        <f t="shared" si="40"/>
        <v>429.5</v>
      </c>
      <c r="AA95" s="28">
        <f t="shared" si="41"/>
        <v>82.149999999999977</v>
      </c>
      <c r="AB95" s="28">
        <f t="shared" si="42"/>
        <v>127.91249999999999</v>
      </c>
      <c r="AC95" s="28">
        <f t="shared" si="62"/>
        <v>172.08750000000001</v>
      </c>
      <c r="AD95" s="28">
        <f t="shared" si="43"/>
        <v>129.06562500000001</v>
      </c>
      <c r="AE95" s="13">
        <f t="shared" si="63"/>
        <v>129.06562500000001</v>
      </c>
      <c r="AF95" s="13">
        <f t="shared" si="64"/>
        <v>0</v>
      </c>
      <c r="AG95" s="13">
        <f t="shared" si="44"/>
        <v>129.06562500000001</v>
      </c>
      <c r="AH95" s="28">
        <f t="shared" si="65"/>
        <v>231.81</v>
      </c>
      <c r="AI95" s="13">
        <f t="shared" si="66"/>
        <v>275.14999999999998</v>
      </c>
      <c r="AJ95" s="28">
        <f t="shared" si="67"/>
        <v>74.290499999999994</v>
      </c>
      <c r="AK95" s="13">
        <f t="shared" si="45"/>
        <v>157.51949999999999</v>
      </c>
      <c r="AL95" s="47">
        <f t="shared" si="46"/>
        <v>33</v>
      </c>
      <c r="AM95" s="13" t="str">
        <f t="shared" si="47"/>
        <v>N</v>
      </c>
      <c r="AN95" s="13">
        <f t="shared" si="48"/>
        <v>0</v>
      </c>
      <c r="AO95" s="13" t="str">
        <f t="shared" si="49"/>
        <v>N</v>
      </c>
      <c r="AP95" s="13">
        <f t="shared" si="50"/>
        <v>72.5</v>
      </c>
      <c r="AQ95" s="13">
        <f t="shared" si="51"/>
        <v>0</v>
      </c>
      <c r="AR95" s="13">
        <f t="shared" si="52"/>
        <v>0</v>
      </c>
      <c r="AS95" s="9">
        <f t="shared" si="68"/>
        <v>2</v>
      </c>
      <c r="AT95" s="9">
        <f t="shared" si="69"/>
        <v>33</v>
      </c>
      <c r="AU95" s="9">
        <f t="shared" si="70"/>
        <v>0</v>
      </c>
      <c r="AV95" s="13">
        <f t="shared" si="71"/>
        <v>5.69</v>
      </c>
      <c r="AW95" s="13">
        <f t="shared" si="72"/>
        <v>0</v>
      </c>
      <c r="AX95" s="9">
        <f t="shared" si="73"/>
        <v>1</v>
      </c>
      <c r="AY95" s="9">
        <f t="shared" si="74"/>
        <v>13</v>
      </c>
      <c r="AZ95" s="28">
        <f t="shared" si="53"/>
        <v>73.97</v>
      </c>
      <c r="BA95" s="9">
        <f t="shared" si="75"/>
        <v>1</v>
      </c>
      <c r="BB95" s="9">
        <f t="shared" si="76"/>
        <v>8</v>
      </c>
      <c r="BC95" s="28">
        <f t="shared" si="54"/>
        <v>45.52</v>
      </c>
      <c r="BD95" s="28">
        <f t="shared" si="55"/>
        <v>119.49000000000001</v>
      </c>
      <c r="BE95" s="13">
        <f t="shared" si="77"/>
        <v>99</v>
      </c>
      <c r="BF95" s="13">
        <f t="shared" si="78"/>
        <v>126</v>
      </c>
      <c r="BG95" s="28">
        <f t="shared" si="56"/>
        <v>225</v>
      </c>
    </row>
    <row r="96" spans="1:59" x14ac:dyDescent="0.2">
      <c r="A96" s="8">
        <f t="shared" si="57"/>
        <v>34</v>
      </c>
      <c r="B96" s="26">
        <f t="shared" si="59"/>
        <v>850</v>
      </c>
      <c r="C96" s="26">
        <f t="shared" si="20"/>
        <v>0</v>
      </c>
      <c r="D96" s="26">
        <f t="shared" si="21"/>
        <v>850</v>
      </c>
      <c r="E96" s="27">
        <f t="shared" si="22"/>
        <v>64.649999999999977</v>
      </c>
      <c r="F96" s="26">
        <f t="shared" si="23"/>
        <v>914.65</v>
      </c>
      <c r="G96" s="26">
        <f t="shared" si="24"/>
        <v>47561.799999999996</v>
      </c>
      <c r="H96" s="26">
        <f t="shared" si="25"/>
        <v>7833.3149999999987</v>
      </c>
      <c r="I96" s="26">
        <f t="shared" si="26"/>
        <v>39728.485000000001</v>
      </c>
      <c r="J96" s="26">
        <f t="shared" si="27"/>
        <v>764.00932692307697</v>
      </c>
      <c r="K96" s="26">
        <f t="shared" si="28"/>
        <v>710.0070276986994</v>
      </c>
      <c r="L96" s="26">
        <f t="shared" si="29"/>
        <v>54.002299224377524</v>
      </c>
      <c r="M96" s="26">
        <f t="shared" si="30"/>
        <v>129.06562500000001</v>
      </c>
      <c r="N96" s="27">
        <f t="shared" si="31"/>
        <v>155.49450000000002</v>
      </c>
      <c r="O96" s="27">
        <f t="shared" si="32"/>
        <v>130.87</v>
      </c>
      <c r="P96" s="26">
        <f t="shared" si="33"/>
        <v>1179.4394519230768</v>
      </c>
      <c r="Q96" s="26">
        <f t="shared" si="34"/>
        <v>61330.851499999997</v>
      </c>
      <c r="R96" s="16">
        <f t="shared" si="79"/>
        <v>0.37830000000000841</v>
      </c>
      <c r="S96" s="26">
        <f t="shared" si="36"/>
        <v>75840.85149999999</v>
      </c>
      <c r="T96" s="27">
        <f t="shared" si="37"/>
        <v>240</v>
      </c>
      <c r="U96" s="26">
        <f t="shared" si="60"/>
        <v>939.43945192307683</v>
      </c>
      <c r="V96" s="16">
        <f t="shared" si="58"/>
        <v>0.97830000000000839</v>
      </c>
      <c r="W96" s="28">
        <f t="shared" si="61"/>
        <v>511.65</v>
      </c>
      <c r="X96" s="29">
        <f t="shared" si="38"/>
        <v>27</v>
      </c>
      <c r="Y96" s="29">
        <f t="shared" si="39"/>
        <v>420</v>
      </c>
      <c r="Z96" s="29">
        <f t="shared" si="40"/>
        <v>447</v>
      </c>
      <c r="AA96" s="28">
        <f t="shared" si="41"/>
        <v>64.649999999999977</v>
      </c>
      <c r="AB96" s="28">
        <f t="shared" si="42"/>
        <v>127.91249999999999</v>
      </c>
      <c r="AC96" s="28">
        <f t="shared" si="62"/>
        <v>172.08750000000001</v>
      </c>
      <c r="AD96" s="28">
        <f t="shared" si="43"/>
        <v>129.06562500000001</v>
      </c>
      <c r="AE96" s="13">
        <f t="shared" si="63"/>
        <v>129.06562500000001</v>
      </c>
      <c r="AF96" s="13">
        <f t="shared" si="64"/>
        <v>0</v>
      </c>
      <c r="AG96" s="13">
        <f t="shared" si="44"/>
        <v>129.06562500000001</v>
      </c>
      <c r="AH96" s="28">
        <f t="shared" si="65"/>
        <v>231.81</v>
      </c>
      <c r="AI96" s="13">
        <f t="shared" si="66"/>
        <v>282.64999999999998</v>
      </c>
      <c r="AJ96" s="28">
        <f t="shared" si="67"/>
        <v>76.3155</v>
      </c>
      <c r="AK96" s="13">
        <f t="shared" si="45"/>
        <v>155.49450000000002</v>
      </c>
      <c r="AL96" s="47">
        <f t="shared" si="46"/>
        <v>34</v>
      </c>
      <c r="AM96" s="13" t="str">
        <f t="shared" si="47"/>
        <v>N</v>
      </c>
      <c r="AN96" s="13">
        <f t="shared" si="48"/>
        <v>0</v>
      </c>
      <c r="AO96" s="13" t="str">
        <f t="shared" si="49"/>
        <v>N</v>
      </c>
      <c r="AP96" s="13">
        <f t="shared" si="50"/>
        <v>72.5</v>
      </c>
      <c r="AQ96" s="13">
        <f t="shared" si="51"/>
        <v>0</v>
      </c>
      <c r="AR96" s="13">
        <f t="shared" si="52"/>
        <v>0</v>
      </c>
      <c r="AS96" s="9">
        <f t="shared" si="68"/>
        <v>2</v>
      </c>
      <c r="AT96" s="9">
        <f t="shared" si="69"/>
        <v>34</v>
      </c>
      <c r="AU96" s="9">
        <f t="shared" si="70"/>
        <v>0</v>
      </c>
      <c r="AV96" s="13">
        <f t="shared" si="71"/>
        <v>5.69</v>
      </c>
      <c r="AW96" s="13">
        <f t="shared" si="72"/>
        <v>0</v>
      </c>
      <c r="AX96" s="9">
        <f t="shared" si="73"/>
        <v>1</v>
      </c>
      <c r="AY96" s="9">
        <f t="shared" si="74"/>
        <v>14</v>
      </c>
      <c r="AZ96" s="28">
        <f t="shared" si="53"/>
        <v>79.660000000000011</v>
      </c>
      <c r="BA96" s="9">
        <f t="shared" si="75"/>
        <v>1</v>
      </c>
      <c r="BB96" s="9">
        <f t="shared" si="76"/>
        <v>9</v>
      </c>
      <c r="BC96" s="28">
        <f t="shared" si="54"/>
        <v>51.21</v>
      </c>
      <c r="BD96" s="28">
        <f t="shared" si="55"/>
        <v>130.87</v>
      </c>
      <c r="BE96" s="13">
        <f t="shared" si="77"/>
        <v>102</v>
      </c>
      <c r="BF96" s="13">
        <f t="shared" si="78"/>
        <v>138</v>
      </c>
      <c r="BG96" s="28">
        <f t="shared" si="56"/>
        <v>240</v>
      </c>
    </row>
    <row r="97" spans="1:59" x14ac:dyDescent="0.2">
      <c r="A97" s="8">
        <f t="shared" si="57"/>
        <v>35</v>
      </c>
      <c r="B97" s="26">
        <f t="shared" si="59"/>
        <v>875</v>
      </c>
      <c r="C97" s="26">
        <f t="shared" si="20"/>
        <v>0</v>
      </c>
      <c r="D97" s="26">
        <f t="shared" si="21"/>
        <v>875</v>
      </c>
      <c r="E97" s="27">
        <f t="shared" si="22"/>
        <v>47.149999999999977</v>
      </c>
      <c r="F97" s="26">
        <f t="shared" si="23"/>
        <v>922.15</v>
      </c>
      <c r="G97" s="26">
        <f t="shared" si="24"/>
        <v>47951.799999999996</v>
      </c>
      <c r="H97" s="26">
        <f t="shared" si="25"/>
        <v>7901.5649999999987</v>
      </c>
      <c r="I97" s="26">
        <f t="shared" si="26"/>
        <v>40050.235000000001</v>
      </c>
      <c r="J97" s="26">
        <f t="shared" si="27"/>
        <v>770.19682692307697</v>
      </c>
      <c r="K97" s="26">
        <f t="shared" si="28"/>
        <v>730.81627019215136</v>
      </c>
      <c r="L97" s="26">
        <f t="shared" si="29"/>
        <v>39.380556730925619</v>
      </c>
      <c r="M97" s="26">
        <f t="shared" si="30"/>
        <v>129.06562500000001</v>
      </c>
      <c r="N97" s="27">
        <f t="shared" si="31"/>
        <v>153.46949999999998</v>
      </c>
      <c r="O97" s="27">
        <f t="shared" si="32"/>
        <v>142.25</v>
      </c>
      <c r="P97" s="26">
        <f t="shared" si="33"/>
        <v>1194.9819519230768</v>
      </c>
      <c r="Q97" s="26">
        <f t="shared" si="34"/>
        <v>62139.061499999996</v>
      </c>
      <c r="R97" s="16">
        <f t="shared" si="79"/>
        <v>0.3782999999999993</v>
      </c>
      <c r="S97" s="26">
        <f t="shared" si="36"/>
        <v>76649.061499999996</v>
      </c>
      <c r="T97" s="27">
        <f t="shared" si="37"/>
        <v>255</v>
      </c>
      <c r="U97" s="26">
        <f t="shared" si="60"/>
        <v>939.98195192307685</v>
      </c>
      <c r="V97" s="16">
        <f t="shared" si="58"/>
        <v>0.97829999999999928</v>
      </c>
      <c r="W97" s="28">
        <f t="shared" si="61"/>
        <v>511.65</v>
      </c>
      <c r="X97" s="29">
        <f t="shared" si="38"/>
        <v>27</v>
      </c>
      <c r="Y97" s="29">
        <f t="shared" si="39"/>
        <v>437.5</v>
      </c>
      <c r="Z97" s="29">
        <f t="shared" si="40"/>
        <v>464.5</v>
      </c>
      <c r="AA97" s="28">
        <f t="shared" si="41"/>
        <v>47.149999999999977</v>
      </c>
      <c r="AB97" s="28">
        <f t="shared" si="42"/>
        <v>127.91249999999999</v>
      </c>
      <c r="AC97" s="28">
        <f t="shared" si="62"/>
        <v>172.08750000000001</v>
      </c>
      <c r="AD97" s="28">
        <f t="shared" si="43"/>
        <v>129.06562500000001</v>
      </c>
      <c r="AE97" s="13">
        <f t="shared" si="63"/>
        <v>129.06562500000001</v>
      </c>
      <c r="AF97" s="13">
        <f t="shared" si="64"/>
        <v>0</v>
      </c>
      <c r="AG97" s="13">
        <f t="shared" si="44"/>
        <v>129.06562500000001</v>
      </c>
      <c r="AH97" s="28">
        <f t="shared" si="65"/>
        <v>231.81</v>
      </c>
      <c r="AI97" s="13">
        <f t="shared" si="66"/>
        <v>290.14999999999998</v>
      </c>
      <c r="AJ97" s="28">
        <f t="shared" si="67"/>
        <v>78.340500000000006</v>
      </c>
      <c r="AK97" s="13">
        <f t="shared" si="45"/>
        <v>153.46949999999998</v>
      </c>
      <c r="AL97" s="47">
        <f t="shared" si="46"/>
        <v>35</v>
      </c>
      <c r="AM97" s="13" t="str">
        <f t="shared" si="47"/>
        <v>N</v>
      </c>
      <c r="AN97" s="13">
        <f t="shared" si="48"/>
        <v>0</v>
      </c>
      <c r="AO97" s="13" t="str">
        <f t="shared" si="49"/>
        <v>N</v>
      </c>
      <c r="AP97" s="13">
        <f t="shared" si="50"/>
        <v>72.5</v>
      </c>
      <c r="AQ97" s="13">
        <f t="shared" si="51"/>
        <v>0</v>
      </c>
      <c r="AR97" s="13">
        <f t="shared" si="52"/>
        <v>0</v>
      </c>
      <c r="AS97" s="9">
        <f t="shared" si="68"/>
        <v>2</v>
      </c>
      <c r="AT97" s="9">
        <f t="shared" si="69"/>
        <v>35</v>
      </c>
      <c r="AU97" s="9">
        <f t="shared" si="70"/>
        <v>0</v>
      </c>
      <c r="AV97" s="13">
        <f t="shared" si="71"/>
        <v>5.69</v>
      </c>
      <c r="AW97" s="13">
        <f t="shared" si="72"/>
        <v>0</v>
      </c>
      <c r="AX97" s="9">
        <f t="shared" si="73"/>
        <v>1</v>
      </c>
      <c r="AY97" s="9">
        <f t="shared" si="74"/>
        <v>15</v>
      </c>
      <c r="AZ97" s="28">
        <f t="shared" si="53"/>
        <v>85.350000000000009</v>
      </c>
      <c r="BA97" s="9">
        <f t="shared" si="75"/>
        <v>1</v>
      </c>
      <c r="BB97" s="9">
        <f t="shared" si="76"/>
        <v>10</v>
      </c>
      <c r="BC97" s="28">
        <f t="shared" si="54"/>
        <v>56.900000000000006</v>
      </c>
      <c r="BD97" s="28">
        <f t="shared" si="55"/>
        <v>142.25</v>
      </c>
      <c r="BE97" s="13">
        <f t="shared" si="77"/>
        <v>105</v>
      </c>
      <c r="BF97" s="13">
        <f t="shared" si="78"/>
        <v>150</v>
      </c>
      <c r="BG97" s="28">
        <f t="shared" si="56"/>
        <v>255</v>
      </c>
    </row>
    <row r="98" spans="1:59" x14ac:dyDescent="0.2">
      <c r="A98" s="8">
        <f t="shared" si="57"/>
        <v>36</v>
      </c>
      <c r="B98" s="26">
        <f t="shared" si="59"/>
        <v>900</v>
      </c>
      <c r="C98" s="26">
        <f t="shared" si="20"/>
        <v>0</v>
      </c>
      <c r="D98" s="26">
        <f t="shared" si="21"/>
        <v>900</v>
      </c>
      <c r="E98" s="27">
        <f t="shared" si="22"/>
        <v>29.650000000000034</v>
      </c>
      <c r="F98" s="26">
        <f t="shared" si="23"/>
        <v>929.65000000000009</v>
      </c>
      <c r="G98" s="26">
        <f t="shared" si="24"/>
        <v>48341.8</v>
      </c>
      <c r="H98" s="26">
        <f t="shared" si="25"/>
        <v>8012.5400000000009</v>
      </c>
      <c r="I98" s="26">
        <f t="shared" si="26"/>
        <v>40329.26</v>
      </c>
      <c r="J98" s="26">
        <f t="shared" si="27"/>
        <v>775.56269230769237</v>
      </c>
      <c r="K98" s="26">
        <f t="shared" si="28"/>
        <v>750.82711028550864</v>
      </c>
      <c r="L98" s="26">
        <f t="shared" si="29"/>
        <v>24.735582022183724</v>
      </c>
      <c r="M98" s="26">
        <f t="shared" si="30"/>
        <v>129.06562500000001</v>
      </c>
      <c r="N98" s="27">
        <f t="shared" si="31"/>
        <v>151.44449999999998</v>
      </c>
      <c r="O98" s="27">
        <f t="shared" si="32"/>
        <v>153.63</v>
      </c>
      <c r="P98" s="26">
        <f t="shared" si="33"/>
        <v>1209.7028173076924</v>
      </c>
      <c r="Q98" s="26">
        <f t="shared" si="34"/>
        <v>62904.546500000004</v>
      </c>
      <c r="R98" s="16">
        <f t="shared" si="79"/>
        <v>0.41116538461537855</v>
      </c>
      <c r="S98" s="26">
        <f t="shared" si="36"/>
        <v>77414.546499999997</v>
      </c>
      <c r="T98" s="27">
        <f t="shared" si="37"/>
        <v>270</v>
      </c>
      <c r="U98" s="26">
        <f t="shared" si="60"/>
        <v>939.70281730769238</v>
      </c>
      <c r="V98" s="16">
        <f t="shared" si="58"/>
        <v>1.0111653846153785</v>
      </c>
      <c r="W98" s="28">
        <f t="shared" si="61"/>
        <v>511.65</v>
      </c>
      <c r="X98" s="29">
        <f t="shared" si="38"/>
        <v>27</v>
      </c>
      <c r="Y98" s="29">
        <f t="shared" si="39"/>
        <v>454.99999999999994</v>
      </c>
      <c r="Z98" s="29">
        <f t="shared" si="40"/>
        <v>481.99999999999994</v>
      </c>
      <c r="AA98" s="28">
        <f t="shared" si="41"/>
        <v>29.650000000000034</v>
      </c>
      <c r="AB98" s="28">
        <f t="shared" si="42"/>
        <v>127.91249999999999</v>
      </c>
      <c r="AC98" s="28">
        <f t="shared" si="62"/>
        <v>172.08750000000001</v>
      </c>
      <c r="AD98" s="28">
        <f t="shared" si="43"/>
        <v>129.06562500000001</v>
      </c>
      <c r="AE98" s="13">
        <f t="shared" si="63"/>
        <v>129.06562500000001</v>
      </c>
      <c r="AF98" s="13">
        <f t="shared" si="64"/>
        <v>0</v>
      </c>
      <c r="AG98" s="13">
        <f t="shared" si="44"/>
        <v>129.06562500000001</v>
      </c>
      <c r="AH98" s="28">
        <f t="shared" si="65"/>
        <v>231.81</v>
      </c>
      <c r="AI98" s="13">
        <f t="shared" si="66"/>
        <v>297.65000000000009</v>
      </c>
      <c r="AJ98" s="28">
        <f t="shared" si="67"/>
        <v>80.365500000000026</v>
      </c>
      <c r="AK98" s="13">
        <f t="shared" si="45"/>
        <v>151.44449999999998</v>
      </c>
      <c r="AL98" s="47">
        <f t="shared" si="46"/>
        <v>36</v>
      </c>
      <c r="AM98" s="13" t="str">
        <f t="shared" si="47"/>
        <v>N</v>
      </c>
      <c r="AN98" s="13">
        <f t="shared" si="48"/>
        <v>0</v>
      </c>
      <c r="AO98" s="13" t="str">
        <f t="shared" si="49"/>
        <v>N</v>
      </c>
      <c r="AP98" s="13">
        <f t="shared" si="50"/>
        <v>72.5</v>
      </c>
      <c r="AQ98" s="13">
        <f t="shared" si="51"/>
        <v>0</v>
      </c>
      <c r="AR98" s="13">
        <f t="shared" si="52"/>
        <v>0</v>
      </c>
      <c r="AS98" s="9">
        <f t="shared" si="68"/>
        <v>2</v>
      </c>
      <c r="AT98" s="9">
        <f t="shared" si="69"/>
        <v>36</v>
      </c>
      <c r="AU98" s="9">
        <f t="shared" si="70"/>
        <v>0</v>
      </c>
      <c r="AV98" s="13">
        <f t="shared" si="71"/>
        <v>5.69</v>
      </c>
      <c r="AW98" s="13">
        <f t="shared" si="72"/>
        <v>0</v>
      </c>
      <c r="AX98" s="9">
        <f t="shared" si="73"/>
        <v>1</v>
      </c>
      <c r="AY98" s="9">
        <f t="shared" si="74"/>
        <v>16</v>
      </c>
      <c r="AZ98" s="28">
        <f t="shared" si="53"/>
        <v>91.04</v>
      </c>
      <c r="BA98" s="9">
        <f t="shared" si="75"/>
        <v>1</v>
      </c>
      <c r="BB98" s="9">
        <f t="shared" si="76"/>
        <v>11</v>
      </c>
      <c r="BC98" s="28">
        <f t="shared" si="54"/>
        <v>62.59</v>
      </c>
      <c r="BD98" s="28">
        <f t="shared" si="55"/>
        <v>153.63</v>
      </c>
      <c r="BE98" s="13">
        <f t="shared" si="77"/>
        <v>108</v>
      </c>
      <c r="BF98" s="13">
        <f t="shared" si="78"/>
        <v>162</v>
      </c>
      <c r="BG98" s="28">
        <f t="shared" si="56"/>
        <v>270</v>
      </c>
    </row>
    <row r="99" spans="1:59" x14ac:dyDescent="0.2">
      <c r="A99" s="8">
        <f t="shared" si="57"/>
        <v>37</v>
      </c>
      <c r="B99" s="26">
        <f t="shared" si="59"/>
        <v>925</v>
      </c>
      <c r="C99" s="26">
        <f t="shared" si="20"/>
        <v>0</v>
      </c>
      <c r="D99" s="26">
        <f t="shared" si="21"/>
        <v>925</v>
      </c>
      <c r="E99" s="27">
        <f t="shared" si="22"/>
        <v>12.150000000000034</v>
      </c>
      <c r="F99" s="26">
        <f t="shared" si="23"/>
        <v>937.15000000000009</v>
      </c>
      <c r="G99" s="26">
        <f t="shared" si="24"/>
        <v>48731.8</v>
      </c>
      <c r="H99" s="26">
        <f t="shared" si="25"/>
        <v>8129.5400000000009</v>
      </c>
      <c r="I99" s="26">
        <f t="shared" si="26"/>
        <v>40602.26</v>
      </c>
      <c r="J99" s="26">
        <f t="shared" si="27"/>
        <v>780.81269230769237</v>
      </c>
      <c r="K99" s="26">
        <f t="shared" si="28"/>
        <v>770.68958052031735</v>
      </c>
      <c r="L99" s="26">
        <f t="shared" si="29"/>
        <v>10.123111787375006</v>
      </c>
      <c r="M99" s="26">
        <f t="shared" si="30"/>
        <v>129.06562500000001</v>
      </c>
      <c r="N99" s="27">
        <f t="shared" si="31"/>
        <v>149.41949999999997</v>
      </c>
      <c r="O99" s="27">
        <f t="shared" si="32"/>
        <v>165.01</v>
      </c>
      <c r="P99" s="26">
        <f t="shared" si="33"/>
        <v>1224.3078173076924</v>
      </c>
      <c r="Q99" s="26">
        <f t="shared" si="34"/>
        <v>63664.006500000003</v>
      </c>
      <c r="R99" s="16">
        <f t="shared" si="79"/>
        <v>0.41579999999999928</v>
      </c>
      <c r="S99" s="26">
        <f t="shared" si="36"/>
        <v>78174.006500000003</v>
      </c>
      <c r="T99" s="27">
        <f t="shared" si="37"/>
        <v>285</v>
      </c>
      <c r="U99" s="26">
        <f t="shared" si="60"/>
        <v>939.3078173076924</v>
      </c>
      <c r="V99" s="16">
        <f t="shared" si="58"/>
        <v>1.0157999999999994</v>
      </c>
      <c r="W99" s="28">
        <f t="shared" si="61"/>
        <v>511.65</v>
      </c>
      <c r="X99" s="29">
        <f t="shared" si="38"/>
        <v>27</v>
      </c>
      <c r="Y99" s="29">
        <f t="shared" si="39"/>
        <v>472.49999999999994</v>
      </c>
      <c r="Z99" s="29">
        <f t="shared" si="40"/>
        <v>499.49999999999994</v>
      </c>
      <c r="AA99" s="28">
        <f t="shared" si="41"/>
        <v>12.150000000000034</v>
      </c>
      <c r="AB99" s="28">
        <f t="shared" si="42"/>
        <v>127.91249999999999</v>
      </c>
      <c r="AC99" s="28">
        <f t="shared" si="62"/>
        <v>172.08750000000001</v>
      </c>
      <c r="AD99" s="28">
        <f t="shared" si="43"/>
        <v>129.06562500000001</v>
      </c>
      <c r="AE99" s="13">
        <f t="shared" si="63"/>
        <v>129.06562500000001</v>
      </c>
      <c r="AF99" s="13">
        <f t="shared" si="64"/>
        <v>0</v>
      </c>
      <c r="AG99" s="13">
        <f t="shared" si="44"/>
        <v>129.06562500000001</v>
      </c>
      <c r="AH99" s="28">
        <f t="shared" si="65"/>
        <v>231.81</v>
      </c>
      <c r="AI99" s="13">
        <f t="shared" si="66"/>
        <v>305.15000000000009</v>
      </c>
      <c r="AJ99" s="28">
        <f t="shared" si="67"/>
        <v>82.390500000000031</v>
      </c>
      <c r="AK99" s="13">
        <f t="shared" si="45"/>
        <v>149.41949999999997</v>
      </c>
      <c r="AL99" s="47">
        <f t="shared" si="46"/>
        <v>37</v>
      </c>
      <c r="AM99" s="13" t="str">
        <f t="shared" si="47"/>
        <v>N</v>
      </c>
      <c r="AN99" s="13">
        <f t="shared" si="48"/>
        <v>0</v>
      </c>
      <c r="AO99" s="13" t="str">
        <f t="shared" si="49"/>
        <v>N</v>
      </c>
      <c r="AP99" s="13">
        <f t="shared" si="50"/>
        <v>72.5</v>
      </c>
      <c r="AQ99" s="13">
        <f t="shared" si="51"/>
        <v>0</v>
      </c>
      <c r="AR99" s="13">
        <f t="shared" si="52"/>
        <v>0</v>
      </c>
      <c r="AS99" s="9">
        <f t="shared" si="68"/>
        <v>2</v>
      </c>
      <c r="AT99" s="9">
        <f t="shared" si="69"/>
        <v>37</v>
      </c>
      <c r="AU99" s="9">
        <f t="shared" si="70"/>
        <v>0</v>
      </c>
      <c r="AV99" s="13">
        <f t="shared" si="71"/>
        <v>5.69</v>
      </c>
      <c r="AW99" s="13">
        <f t="shared" si="72"/>
        <v>0</v>
      </c>
      <c r="AX99" s="9">
        <f t="shared" si="73"/>
        <v>1</v>
      </c>
      <c r="AY99" s="9">
        <f t="shared" si="74"/>
        <v>17</v>
      </c>
      <c r="AZ99" s="28">
        <f t="shared" si="53"/>
        <v>96.73</v>
      </c>
      <c r="BA99" s="9">
        <f t="shared" si="75"/>
        <v>1</v>
      </c>
      <c r="BB99" s="9">
        <f t="shared" si="76"/>
        <v>12</v>
      </c>
      <c r="BC99" s="28">
        <f t="shared" si="54"/>
        <v>68.28</v>
      </c>
      <c r="BD99" s="28">
        <f t="shared" si="55"/>
        <v>165.01</v>
      </c>
      <c r="BE99" s="13">
        <f t="shared" si="77"/>
        <v>111</v>
      </c>
      <c r="BF99" s="13">
        <f t="shared" si="78"/>
        <v>174</v>
      </c>
      <c r="BG99" s="28">
        <f t="shared" si="56"/>
        <v>285</v>
      </c>
    </row>
    <row r="100" spans="1:59" x14ac:dyDescent="0.2">
      <c r="A100" s="8">
        <f t="shared" si="57"/>
        <v>38</v>
      </c>
      <c r="B100" s="26">
        <f t="shared" si="59"/>
        <v>950</v>
      </c>
      <c r="C100" s="26">
        <f t="shared" si="20"/>
        <v>0</v>
      </c>
      <c r="D100" s="26">
        <f t="shared" si="21"/>
        <v>950</v>
      </c>
      <c r="E100" s="27">
        <f t="shared" si="22"/>
        <v>0</v>
      </c>
      <c r="F100" s="26">
        <f t="shared" si="23"/>
        <v>950</v>
      </c>
      <c r="G100" s="26">
        <f t="shared" si="24"/>
        <v>49400</v>
      </c>
      <c r="H100" s="26">
        <f t="shared" si="25"/>
        <v>8330</v>
      </c>
      <c r="I100" s="26">
        <f t="shared" si="26"/>
        <v>41070</v>
      </c>
      <c r="J100" s="26">
        <f t="shared" si="27"/>
        <v>789.80769230769226</v>
      </c>
      <c r="K100" s="26">
        <f t="shared" si="28"/>
        <v>789.80769230769226</v>
      </c>
      <c r="L100" s="26">
        <f t="shared" si="29"/>
        <v>0</v>
      </c>
      <c r="M100" s="26">
        <f t="shared" si="30"/>
        <v>127.15491071428573</v>
      </c>
      <c r="N100" s="27">
        <f t="shared" si="31"/>
        <v>218.45</v>
      </c>
      <c r="O100" s="27">
        <f t="shared" si="32"/>
        <v>176.39</v>
      </c>
      <c r="P100" s="26">
        <f t="shared" si="33"/>
        <v>1311.802603021978</v>
      </c>
      <c r="Q100" s="26">
        <f t="shared" si="34"/>
        <v>68213.735357142854</v>
      </c>
      <c r="R100" s="16">
        <f t="shared" si="79"/>
        <v>-2.4997914285714251</v>
      </c>
      <c r="S100" s="26">
        <f t="shared" si="36"/>
        <v>82723.735357142854</v>
      </c>
      <c r="T100" s="27">
        <f t="shared" si="37"/>
        <v>300</v>
      </c>
      <c r="U100" s="26">
        <f t="shared" si="60"/>
        <v>1011.802603021978</v>
      </c>
      <c r="V100" s="16">
        <f t="shared" si="58"/>
        <v>-1.899791428571425</v>
      </c>
      <c r="W100" s="28">
        <f t="shared" si="61"/>
        <v>511.65</v>
      </c>
      <c r="X100" s="29">
        <f t="shared" si="38"/>
        <v>27</v>
      </c>
      <c r="Y100" s="29">
        <f t="shared" si="39"/>
        <v>489.99999999999994</v>
      </c>
      <c r="Z100" s="29">
        <f t="shared" si="40"/>
        <v>511.65</v>
      </c>
      <c r="AA100" s="28">
        <f t="shared" si="41"/>
        <v>0</v>
      </c>
      <c r="AB100" s="28">
        <f t="shared" si="42"/>
        <v>127.91249999999999</v>
      </c>
      <c r="AC100" s="28">
        <f t="shared" si="62"/>
        <v>172.08750000000001</v>
      </c>
      <c r="AD100" s="28">
        <f t="shared" si="43"/>
        <v>129.06562500000001</v>
      </c>
      <c r="AE100" s="13">
        <f t="shared" si="63"/>
        <v>129.06562500000001</v>
      </c>
      <c r="AF100" s="13">
        <f t="shared" si="64"/>
        <v>7.6428571428571104</v>
      </c>
      <c r="AG100" s="13">
        <f t="shared" si="44"/>
        <v>127.15491071428573</v>
      </c>
      <c r="AH100" s="28">
        <f t="shared" si="65"/>
        <v>231.81</v>
      </c>
      <c r="AI100" s="13">
        <f t="shared" si="66"/>
        <v>318</v>
      </c>
      <c r="AJ100" s="28">
        <f t="shared" si="67"/>
        <v>85.86</v>
      </c>
      <c r="AK100" s="13">
        <f t="shared" si="45"/>
        <v>145.94999999999999</v>
      </c>
      <c r="AL100" s="47">
        <f t="shared" si="46"/>
        <v>38</v>
      </c>
      <c r="AM100" s="13" t="str">
        <f t="shared" si="47"/>
        <v>N</v>
      </c>
      <c r="AN100" s="13">
        <f t="shared" si="48"/>
        <v>0</v>
      </c>
      <c r="AO100" s="13" t="str">
        <f t="shared" si="49"/>
        <v>Y</v>
      </c>
      <c r="AP100" s="13">
        <f t="shared" si="50"/>
        <v>72.5</v>
      </c>
      <c r="AQ100" s="13">
        <f t="shared" si="51"/>
        <v>0</v>
      </c>
      <c r="AR100" s="13">
        <f t="shared" si="52"/>
        <v>72.5</v>
      </c>
      <c r="AS100" s="9">
        <f t="shared" si="68"/>
        <v>2</v>
      </c>
      <c r="AT100" s="9">
        <f t="shared" si="69"/>
        <v>38</v>
      </c>
      <c r="AU100" s="9">
        <f t="shared" si="70"/>
        <v>0</v>
      </c>
      <c r="AV100" s="13">
        <f t="shared" si="71"/>
        <v>5.69</v>
      </c>
      <c r="AW100" s="13">
        <f t="shared" si="72"/>
        <v>0</v>
      </c>
      <c r="AX100" s="9">
        <f t="shared" si="73"/>
        <v>1</v>
      </c>
      <c r="AY100" s="9">
        <f t="shared" si="74"/>
        <v>18</v>
      </c>
      <c r="AZ100" s="28">
        <f t="shared" si="53"/>
        <v>102.42</v>
      </c>
      <c r="BA100" s="9">
        <f t="shared" si="75"/>
        <v>1</v>
      </c>
      <c r="BB100" s="9">
        <f t="shared" si="76"/>
        <v>13</v>
      </c>
      <c r="BC100" s="28">
        <f t="shared" si="54"/>
        <v>73.97</v>
      </c>
      <c r="BD100" s="28">
        <f t="shared" si="55"/>
        <v>176.39</v>
      </c>
      <c r="BE100" s="13">
        <f t="shared" si="77"/>
        <v>114</v>
      </c>
      <c r="BF100" s="13">
        <f t="shared" si="78"/>
        <v>186</v>
      </c>
      <c r="BG100" s="28">
        <f t="shared" si="56"/>
        <v>300</v>
      </c>
    </row>
    <row r="101" spans="1:59" x14ac:dyDescent="0.2">
      <c r="A101" s="8">
        <f t="shared" si="57"/>
        <v>39</v>
      </c>
      <c r="B101" s="26">
        <f t="shared" si="59"/>
        <v>975</v>
      </c>
      <c r="C101" s="26">
        <f t="shared" si="20"/>
        <v>0</v>
      </c>
      <c r="D101" s="26">
        <f t="shared" si="21"/>
        <v>975</v>
      </c>
      <c r="E101" s="27">
        <f t="shared" si="22"/>
        <v>0</v>
      </c>
      <c r="F101" s="26">
        <f t="shared" si="23"/>
        <v>975</v>
      </c>
      <c r="G101" s="26">
        <f t="shared" si="24"/>
        <v>50700</v>
      </c>
      <c r="H101" s="26">
        <f t="shared" si="25"/>
        <v>8720</v>
      </c>
      <c r="I101" s="26">
        <f t="shared" si="26"/>
        <v>41980</v>
      </c>
      <c r="J101" s="26">
        <f t="shared" si="27"/>
        <v>807.30769230769226</v>
      </c>
      <c r="K101" s="26">
        <f t="shared" si="28"/>
        <v>807.30769230769226</v>
      </c>
      <c r="L101" s="26">
        <f t="shared" si="29"/>
        <v>0</v>
      </c>
      <c r="M101" s="26">
        <f t="shared" si="30"/>
        <v>120.90491071428573</v>
      </c>
      <c r="N101" s="27">
        <f t="shared" si="31"/>
        <v>211.7</v>
      </c>
      <c r="O101" s="27">
        <f t="shared" si="32"/>
        <v>149.49</v>
      </c>
      <c r="P101" s="26">
        <f t="shared" si="33"/>
        <v>1289.4026030219779</v>
      </c>
      <c r="Q101" s="26">
        <f t="shared" si="34"/>
        <v>67048.935357142851</v>
      </c>
      <c r="R101" s="16">
        <f t="shared" si="79"/>
        <v>1.8960000000000037</v>
      </c>
      <c r="S101" s="26">
        <f t="shared" si="36"/>
        <v>81558.935357142851</v>
      </c>
      <c r="T101" s="27">
        <f t="shared" si="37"/>
        <v>315</v>
      </c>
      <c r="U101" s="26">
        <f t="shared" si="60"/>
        <v>974.40260302197794</v>
      </c>
      <c r="V101" s="16">
        <f t="shared" si="58"/>
        <v>2.4960000000000035</v>
      </c>
      <c r="W101" s="28">
        <f t="shared" si="61"/>
        <v>511.65</v>
      </c>
      <c r="X101" s="29">
        <f t="shared" si="38"/>
        <v>27</v>
      </c>
      <c r="Y101" s="29">
        <f t="shared" si="39"/>
        <v>507.49999999999994</v>
      </c>
      <c r="Z101" s="29">
        <f t="shared" si="40"/>
        <v>511.65</v>
      </c>
      <c r="AA101" s="28">
        <f t="shared" si="41"/>
        <v>0</v>
      </c>
      <c r="AB101" s="28">
        <f t="shared" si="42"/>
        <v>127.91249999999999</v>
      </c>
      <c r="AC101" s="28">
        <f t="shared" si="62"/>
        <v>172.08750000000001</v>
      </c>
      <c r="AD101" s="28">
        <f t="shared" si="43"/>
        <v>129.06562500000001</v>
      </c>
      <c r="AE101" s="13">
        <f t="shared" si="63"/>
        <v>129.06562500000001</v>
      </c>
      <c r="AF101" s="13">
        <f t="shared" si="64"/>
        <v>32.64285714285711</v>
      </c>
      <c r="AG101" s="13">
        <f t="shared" si="44"/>
        <v>120.90491071428573</v>
      </c>
      <c r="AH101" s="28">
        <f t="shared" si="65"/>
        <v>231.81</v>
      </c>
      <c r="AI101" s="13">
        <f t="shared" si="66"/>
        <v>343</v>
      </c>
      <c r="AJ101" s="28">
        <f t="shared" si="67"/>
        <v>92.61</v>
      </c>
      <c r="AK101" s="13">
        <f t="shared" si="45"/>
        <v>139.19999999999999</v>
      </c>
      <c r="AL101" s="47">
        <f t="shared" si="46"/>
        <v>39</v>
      </c>
      <c r="AM101" s="13" t="str">
        <f t="shared" si="47"/>
        <v>N</v>
      </c>
      <c r="AN101" s="13">
        <f t="shared" si="48"/>
        <v>0</v>
      </c>
      <c r="AO101" s="13" t="str">
        <f t="shared" si="49"/>
        <v>Y</v>
      </c>
      <c r="AP101" s="13">
        <f t="shared" si="50"/>
        <v>72.5</v>
      </c>
      <c r="AQ101" s="13">
        <f t="shared" si="51"/>
        <v>0</v>
      </c>
      <c r="AR101" s="13">
        <f t="shared" si="52"/>
        <v>72.5</v>
      </c>
      <c r="AS101" s="9">
        <f t="shared" si="68"/>
        <v>2</v>
      </c>
      <c r="AT101" s="9">
        <f t="shared" si="69"/>
        <v>39</v>
      </c>
      <c r="AU101" s="9">
        <f t="shared" si="70"/>
        <v>0</v>
      </c>
      <c r="AV101" s="13">
        <f t="shared" si="71"/>
        <v>4.53</v>
      </c>
      <c r="AW101" s="13">
        <f t="shared" si="72"/>
        <v>0</v>
      </c>
      <c r="AX101" s="9">
        <f t="shared" si="73"/>
        <v>1</v>
      </c>
      <c r="AY101" s="9">
        <f t="shared" si="74"/>
        <v>19</v>
      </c>
      <c r="AZ101" s="28">
        <f t="shared" si="53"/>
        <v>86.070000000000007</v>
      </c>
      <c r="BA101" s="9">
        <f t="shared" si="75"/>
        <v>1</v>
      </c>
      <c r="BB101" s="9">
        <f t="shared" si="76"/>
        <v>14</v>
      </c>
      <c r="BC101" s="28">
        <f t="shared" si="54"/>
        <v>63.42</v>
      </c>
      <c r="BD101" s="28">
        <f t="shared" si="55"/>
        <v>149.49</v>
      </c>
      <c r="BE101" s="13">
        <f t="shared" si="77"/>
        <v>117</v>
      </c>
      <c r="BF101" s="13">
        <f t="shared" si="78"/>
        <v>198</v>
      </c>
      <c r="BG101" s="28">
        <f t="shared" si="56"/>
        <v>315</v>
      </c>
    </row>
    <row r="102" spans="1:59" x14ac:dyDescent="0.2">
      <c r="A102" s="8">
        <f t="shared" si="57"/>
        <v>40</v>
      </c>
      <c r="B102" s="26">
        <f t="shared" si="59"/>
        <v>1000</v>
      </c>
      <c r="C102" s="26">
        <f t="shared" si="20"/>
        <v>0</v>
      </c>
      <c r="D102" s="26">
        <f t="shared" si="21"/>
        <v>1000</v>
      </c>
      <c r="E102" s="27">
        <f t="shared" si="22"/>
        <v>0</v>
      </c>
      <c r="F102" s="26">
        <f t="shared" si="23"/>
        <v>1000</v>
      </c>
      <c r="G102" s="26">
        <f t="shared" si="24"/>
        <v>52000</v>
      </c>
      <c r="H102" s="26">
        <f t="shared" si="25"/>
        <v>9110</v>
      </c>
      <c r="I102" s="26">
        <f t="shared" si="26"/>
        <v>42890</v>
      </c>
      <c r="J102" s="26">
        <f t="shared" si="27"/>
        <v>824.80769230769226</v>
      </c>
      <c r="K102" s="26">
        <f t="shared" si="28"/>
        <v>824.80769230769226</v>
      </c>
      <c r="L102" s="26">
        <f t="shared" si="29"/>
        <v>0</v>
      </c>
      <c r="M102" s="26">
        <f t="shared" si="30"/>
        <v>114.65491071428573</v>
      </c>
      <c r="N102" s="27">
        <f t="shared" si="31"/>
        <v>204.95</v>
      </c>
      <c r="O102" s="27">
        <f t="shared" si="32"/>
        <v>158.55000000000001</v>
      </c>
      <c r="P102" s="26">
        <f t="shared" si="33"/>
        <v>1302.9626030219779</v>
      </c>
      <c r="Q102" s="26">
        <f t="shared" si="34"/>
        <v>67754.055357142846</v>
      </c>
      <c r="R102" s="16">
        <f t="shared" si="79"/>
        <v>0.45760000000000223</v>
      </c>
      <c r="S102" s="26">
        <f t="shared" si="36"/>
        <v>82264.055357142846</v>
      </c>
      <c r="T102" s="27">
        <f t="shared" si="37"/>
        <v>330</v>
      </c>
      <c r="U102" s="26">
        <f t="shared" si="60"/>
        <v>972.96260302197788</v>
      </c>
      <c r="V102" s="16">
        <f t="shared" si="58"/>
        <v>1.0576000000000021</v>
      </c>
      <c r="W102" s="28">
        <f t="shared" si="61"/>
        <v>511.65</v>
      </c>
      <c r="X102" s="29">
        <f t="shared" si="38"/>
        <v>27</v>
      </c>
      <c r="Y102" s="29">
        <f t="shared" si="39"/>
        <v>525</v>
      </c>
      <c r="Z102" s="29">
        <f t="shared" si="40"/>
        <v>511.65</v>
      </c>
      <c r="AA102" s="28">
        <f t="shared" si="41"/>
        <v>0</v>
      </c>
      <c r="AB102" s="28">
        <f t="shared" si="42"/>
        <v>127.91249999999999</v>
      </c>
      <c r="AC102" s="28">
        <f t="shared" si="62"/>
        <v>172.08750000000001</v>
      </c>
      <c r="AD102" s="28">
        <f t="shared" si="43"/>
        <v>129.06562500000001</v>
      </c>
      <c r="AE102" s="13">
        <f t="shared" si="63"/>
        <v>129.06562500000001</v>
      </c>
      <c r="AF102" s="13">
        <f t="shared" si="64"/>
        <v>57.64285714285711</v>
      </c>
      <c r="AG102" s="13">
        <f t="shared" si="44"/>
        <v>114.65491071428573</v>
      </c>
      <c r="AH102" s="28">
        <f t="shared" si="65"/>
        <v>231.81</v>
      </c>
      <c r="AI102" s="13">
        <f t="shared" si="66"/>
        <v>368</v>
      </c>
      <c r="AJ102" s="28">
        <f t="shared" si="67"/>
        <v>99.360000000000014</v>
      </c>
      <c r="AK102" s="13">
        <f t="shared" si="45"/>
        <v>132.44999999999999</v>
      </c>
      <c r="AL102" s="47">
        <f t="shared" si="46"/>
        <v>40</v>
      </c>
      <c r="AM102" s="13" t="str">
        <f t="shared" si="47"/>
        <v>N</v>
      </c>
      <c r="AN102" s="13">
        <f t="shared" si="48"/>
        <v>0</v>
      </c>
      <c r="AO102" s="13" t="str">
        <f t="shared" si="49"/>
        <v>Y</v>
      </c>
      <c r="AP102" s="13">
        <f t="shared" si="50"/>
        <v>72.5</v>
      </c>
      <c r="AQ102" s="13">
        <f t="shared" si="51"/>
        <v>0</v>
      </c>
      <c r="AR102" s="13">
        <f t="shared" si="52"/>
        <v>72.5</v>
      </c>
      <c r="AS102" s="9">
        <f t="shared" si="68"/>
        <v>2</v>
      </c>
      <c r="AT102" s="9">
        <f t="shared" si="69"/>
        <v>40</v>
      </c>
      <c r="AU102" s="9">
        <f t="shared" si="70"/>
        <v>0</v>
      </c>
      <c r="AV102" s="13">
        <f t="shared" si="71"/>
        <v>4.53</v>
      </c>
      <c r="AW102" s="13">
        <f t="shared" si="72"/>
        <v>0</v>
      </c>
      <c r="AX102" s="9">
        <f t="shared" si="73"/>
        <v>1</v>
      </c>
      <c r="AY102" s="9">
        <f t="shared" si="74"/>
        <v>20</v>
      </c>
      <c r="AZ102" s="28">
        <f t="shared" si="53"/>
        <v>90.600000000000009</v>
      </c>
      <c r="BA102" s="9">
        <f t="shared" si="75"/>
        <v>1</v>
      </c>
      <c r="BB102" s="9">
        <f t="shared" si="76"/>
        <v>15</v>
      </c>
      <c r="BC102" s="28">
        <f t="shared" si="54"/>
        <v>67.95</v>
      </c>
      <c r="BD102" s="28">
        <f t="shared" si="55"/>
        <v>158.55000000000001</v>
      </c>
      <c r="BE102" s="13">
        <f t="shared" si="77"/>
        <v>120</v>
      </c>
      <c r="BF102" s="13">
        <f t="shared" si="78"/>
        <v>210</v>
      </c>
      <c r="BG102" s="28">
        <f t="shared" si="56"/>
        <v>330</v>
      </c>
    </row>
    <row r="103" spans="1:59" x14ac:dyDescent="0.2">
      <c r="A103" s="8">
        <f t="shared" si="57"/>
        <v>41</v>
      </c>
      <c r="B103" s="26">
        <f t="shared" si="59"/>
        <v>1025</v>
      </c>
      <c r="C103" s="26">
        <f t="shared" si="20"/>
        <v>0</v>
      </c>
      <c r="D103" s="26">
        <f t="shared" si="21"/>
        <v>1025</v>
      </c>
      <c r="E103" s="27">
        <f t="shared" si="22"/>
        <v>0</v>
      </c>
      <c r="F103" s="26">
        <f t="shared" si="23"/>
        <v>1025</v>
      </c>
      <c r="G103" s="26">
        <f t="shared" si="24"/>
        <v>53300</v>
      </c>
      <c r="H103" s="26">
        <f t="shared" si="25"/>
        <v>9500</v>
      </c>
      <c r="I103" s="26">
        <f t="shared" si="26"/>
        <v>43800</v>
      </c>
      <c r="J103" s="26">
        <f t="shared" si="27"/>
        <v>842.30769230769226</v>
      </c>
      <c r="K103" s="26">
        <f t="shared" si="28"/>
        <v>842.30769230769226</v>
      </c>
      <c r="L103" s="26">
        <f t="shared" si="29"/>
        <v>0</v>
      </c>
      <c r="M103" s="26">
        <f t="shared" si="30"/>
        <v>108.40491071428573</v>
      </c>
      <c r="N103" s="27">
        <f t="shared" si="31"/>
        <v>198.2</v>
      </c>
      <c r="O103" s="27">
        <f t="shared" si="32"/>
        <v>167.61</v>
      </c>
      <c r="P103" s="26">
        <f t="shared" si="33"/>
        <v>1316.5226030219778</v>
      </c>
      <c r="Q103" s="26">
        <f t="shared" si="34"/>
        <v>68459.175357142842</v>
      </c>
      <c r="R103" s="16">
        <f t="shared" si="79"/>
        <v>0.45760000000000223</v>
      </c>
      <c r="S103" s="26">
        <f t="shared" si="36"/>
        <v>82969.175357142842</v>
      </c>
      <c r="T103" s="27">
        <f t="shared" si="37"/>
        <v>345</v>
      </c>
      <c r="U103" s="26">
        <f t="shared" si="60"/>
        <v>971.52260302197783</v>
      </c>
      <c r="V103" s="16">
        <f t="shared" si="58"/>
        <v>1.0576000000000021</v>
      </c>
      <c r="W103" s="28">
        <f t="shared" si="61"/>
        <v>511.65</v>
      </c>
      <c r="X103" s="29">
        <f t="shared" si="38"/>
        <v>27</v>
      </c>
      <c r="Y103" s="29">
        <f t="shared" si="39"/>
        <v>542.5</v>
      </c>
      <c r="Z103" s="29">
        <f t="shared" si="40"/>
        <v>511.65</v>
      </c>
      <c r="AA103" s="28">
        <f t="shared" si="41"/>
        <v>0</v>
      </c>
      <c r="AB103" s="28">
        <f t="shared" si="42"/>
        <v>127.91249999999999</v>
      </c>
      <c r="AC103" s="28">
        <f t="shared" si="62"/>
        <v>172.08750000000001</v>
      </c>
      <c r="AD103" s="28">
        <f t="shared" si="43"/>
        <v>129.06562500000001</v>
      </c>
      <c r="AE103" s="13">
        <f t="shared" si="63"/>
        <v>129.06562500000001</v>
      </c>
      <c r="AF103" s="13">
        <f t="shared" si="64"/>
        <v>82.64285714285711</v>
      </c>
      <c r="AG103" s="13">
        <f t="shared" si="44"/>
        <v>108.40491071428573</v>
      </c>
      <c r="AH103" s="28">
        <f t="shared" si="65"/>
        <v>231.81</v>
      </c>
      <c r="AI103" s="13">
        <f t="shared" si="66"/>
        <v>393</v>
      </c>
      <c r="AJ103" s="28">
        <f t="shared" si="67"/>
        <v>106.11000000000001</v>
      </c>
      <c r="AK103" s="13">
        <f t="shared" si="45"/>
        <v>125.69999999999999</v>
      </c>
      <c r="AL103" s="47">
        <f t="shared" si="46"/>
        <v>41</v>
      </c>
      <c r="AM103" s="13" t="str">
        <f t="shared" si="47"/>
        <v>N</v>
      </c>
      <c r="AN103" s="13">
        <f t="shared" si="48"/>
        <v>0</v>
      </c>
      <c r="AO103" s="13" t="str">
        <f t="shared" si="49"/>
        <v>Y</v>
      </c>
      <c r="AP103" s="13">
        <f t="shared" si="50"/>
        <v>72.5</v>
      </c>
      <c r="AQ103" s="13">
        <f t="shared" si="51"/>
        <v>0</v>
      </c>
      <c r="AR103" s="13">
        <f t="shared" si="52"/>
        <v>72.5</v>
      </c>
      <c r="AS103" s="9">
        <f t="shared" si="68"/>
        <v>2</v>
      </c>
      <c r="AT103" s="9">
        <f t="shared" si="69"/>
        <v>41</v>
      </c>
      <c r="AU103" s="9">
        <f t="shared" si="70"/>
        <v>0</v>
      </c>
      <c r="AV103" s="13">
        <f t="shared" si="71"/>
        <v>4.53</v>
      </c>
      <c r="AW103" s="13">
        <f t="shared" si="72"/>
        <v>0</v>
      </c>
      <c r="AX103" s="9">
        <f t="shared" si="73"/>
        <v>1</v>
      </c>
      <c r="AY103" s="9">
        <f t="shared" si="74"/>
        <v>21</v>
      </c>
      <c r="AZ103" s="28">
        <f t="shared" si="53"/>
        <v>95.13000000000001</v>
      </c>
      <c r="BA103" s="9">
        <f t="shared" si="75"/>
        <v>1</v>
      </c>
      <c r="BB103" s="9">
        <f t="shared" si="76"/>
        <v>16</v>
      </c>
      <c r="BC103" s="28">
        <f t="shared" si="54"/>
        <v>72.48</v>
      </c>
      <c r="BD103" s="28">
        <f t="shared" si="55"/>
        <v>167.61</v>
      </c>
      <c r="BE103" s="13">
        <f t="shared" si="77"/>
        <v>123</v>
      </c>
      <c r="BF103" s="13">
        <f t="shared" si="78"/>
        <v>222</v>
      </c>
      <c r="BG103" s="28">
        <f t="shared" si="56"/>
        <v>345</v>
      </c>
    </row>
    <row r="104" spans="1:59" x14ac:dyDescent="0.2">
      <c r="A104" s="8">
        <f t="shared" si="57"/>
        <v>42</v>
      </c>
      <c r="B104" s="26">
        <f t="shared" si="59"/>
        <v>1050</v>
      </c>
      <c r="C104" s="26">
        <f t="shared" si="20"/>
        <v>0</v>
      </c>
      <c r="D104" s="26">
        <f t="shared" si="21"/>
        <v>1050</v>
      </c>
      <c r="E104" s="27">
        <f t="shared" si="22"/>
        <v>0</v>
      </c>
      <c r="F104" s="26">
        <f t="shared" si="23"/>
        <v>1050</v>
      </c>
      <c r="G104" s="26">
        <f t="shared" si="24"/>
        <v>54600</v>
      </c>
      <c r="H104" s="26">
        <f t="shared" si="25"/>
        <v>9890</v>
      </c>
      <c r="I104" s="26">
        <f t="shared" si="26"/>
        <v>44710</v>
      </c>
      <c r="J104" s="26">
        <f t="shared" si="27"/>
        <v>859.80769230769226</v>
      </c>
      <c r="K104" s="26">
        <f t="shared" si="28"/>
        <v>859.80769230769226</v>
      </c>
      <c r="L104" s="26">
        <f t="shared" si="29"/>
        <v>0</v>
      </c>
      <c r="M104" s="26">
        <f t="shared" si="30"/>
        <v>102.15491071428573</v>
      </c>
      <c r="N104" s="27">
        <f t="shared" si="31"/>
        <v>191.45</v>
      </c>
      <c r="O104" s="27">
        <f t="shared" si="32"/>
        <v>176.67000000000002</v>
      </c>
      <c r="P104" s="26">
        <f t="shared" si="33"/>
        <v>1330.082603021978</v>
      </c>
      <c r="Q104" s="26">
        <f t="shared" si="34"/>
        <v>69164.295357142852</v>
      </c>
      <c r="R104" s="16">
        <f t="shared" si="79"/>
        <v>0.45759999999999312</v>
      </c>
      <c r="S104" s="26">
        <f t="shared" si="36"/>
        <v>83674.295357142852</v>
      </c>
      <c r="T104" s="27">
        <f t="shared" si="37"/>
        <v>360</v>
      </c>
      <c r="U104" s="26">
        <f t="shared" si="60"/>
        <v>970.082603021978</v>
      </c>
      <c r="V104" s="16">
        <f t="shared" si="58"/>
        <v>1.057599999999993</v>
      </c>
      <c r="W104" s="28">
        <f t="shared" si="61"/>
        <v>511.65</v>
      </c>
      <c r="X104" s="29">
        <f t="shared" si="38"/>
        <v>27</v>
      </c>
      <c r="Y104" s="29">
        <f t="shared" si="39"/>
        <v>560</v>
      </c>
      <c r="Z104" s="29">
        <f t="shared" si="40"/>
        <v>511.65</v>
      </c>
      <c r="AA104" s="28">
        <f t="shared" si="41"/>
        <v>0</v>
      </c>
      <c r="AB104" s="28">
        <f t="shared" si="42"/>
        <v>127.91249999999999</v>
      </c>
      <c r="AC104" s="28">
        <f t="shared" si="62"/>
        <v>172.08750000000001</v>
      </c>
      <c r="AD104" s="28">
        <f t="shared" si="43"/>
        <v>129.06562500000001</v>
      </c>
      <c r="AE104" s="13">
        <f t="shared" si="63"/>
        <v>129.06562500000001</v>
      </c>
      <c r="AF104" s="13">
        <f t="shared" si="64"/>
        <v>107.64285714285711</v>
      </c>
      <c r="AG104" s="13">
        <f t="shared" si="44"/>
        <v>102.15491071428573</v>
      </c>
      <c r="AH104" s="28">
        <f t="shared" si="65"/>
        <v>231.81</v>
      </c>
      <c r="AI104" s="13">
        <f t="shared" si="66"/>
        <v>418</v>
      </c>
      <c r="AJ104" s="28">
        <f t="shared" si="67"/>
        <v>112.86000000000001</v>
      </c>
      <c r="AK104" s="13">
        <f t="shared" si="45"/>
        <v>118.94999999999999</v>
      </c>
      <c r="AL104" s="47">
        <f t="shared" si="46"/>
        <v>42</v>
      </c>
      <c r="AM104" s="13" t="str">
        <f t="shared" si="47"/>
        <v>N</v>
      </c>
      <c r="AN104" s="13">
        <f t="shared" si="48"/>
        <v>0</v>
      </c>
      <c r="AO104" s="13" t="str">
        <f t="shared" si="49"/>
        <v>Y</v>
      </c>
      <c r="AP104" s="13">
        <f t="shared" si="50"/>
        <v>72.5</v>
      </c>
      <c r="AQ104" s="13">
        <f t="shared" si="51"/>
        <v>0</v>
      </c>
      <c r="AR104" s="13">
        <f t="shared" si="52"/>
        <v>72.5</v>
      </c>
      <c r="AS104" s="9">
        <f t="shared" si="68"/>
        <v>2</v>
      </c>
      <c r="AT104" s="9">
        <f t="shared" si="69"/>
        <v>42</v>
      </c>
      <c r="AU104" s="9">
        <f t="shared" si="70"/>
        <v>0</v>
      </c>
      <c r="AV104" s="13">
        <f t="shared" si="71"/>
        <v>4.53</v>
      </c>
      <c r="AW104" s="13">
        <f t="shared" si="72"/>
        <v>0</v>
      </c>
      <c r="AX104" s="9">
        <f t="shared" si="73"/>
        <v>1</v>
      </c>
      <c r="AY104" s="9">
        <f t="shared" si="74"/>
        <v>22</v>
      </c>
      <c r="AZ104" s="28">
        <f t="shared" si="53"/>
        <v>99.660000000000011</v>
      </c>
      <c r="BA104" s="9">
        <f t="shared" si="75"/>
        <v>1</v>
      </c>
      <c r="BB104" s="9">
        <f t="shared" si="76"/>
        <v>17</v>
      </c>
      <c r="BC104" s="28">
        <f t="shared" si="54"/>
        <v>77.010000000000005</v>
      </c>
      <c r="BD104" s="28">
        <f t="shared" si="55"/>
        <v>176.67000000000002</v>
      </c>
      <c r="BE104" s="13">
        <f t="shared" si="77"/>
        <v>126</v>
      </c>
      <c r="BF104" s="13">
        <f t="shared" si="78"/>
        <v>234</v>
      </c>
      <c r="BG104" s="28">
        <f t="shared" si="56"/>
        <v>360</v>
      </c>
    </row>
    <row r="105" spans="1:59" x14ac:dyDescent="0.2">
      <c r="A105" s="8">
        <f t="shared" si="57"/>
        <v>43</v>
      </c>
      <c r="B105" s="26">
        <f t="shared" si="59"/>
        <v>1075</v>
      </c>
      <c r="C105" s="26">
        <f t="shared" si="20"/>
        <v>0</v>
      </c>
      <c r="D105" s="26">
        <f t="shared" si="21"/>
        <v>1075</v>
      </c>
      <c r="E105" s="27">
        <f t="shared" si="22"/>
        <v>0</v>
      </c>
      <c r="F105" s="26">
        <f t="shared" si="23"/>
        <v>1075</v>
      </c>
      <c r="G105" s="26">
        <f t="shared" si="24"/>
        <v>55900</v>
      </c>
      <c r="H105" s="26">
        <f t="shared" si="25"/>
        <v>10280</v>
      </c>
      <c r="I105" s="26">
        <f t="shared" si="26"/>
        <v>45620</v>
      </c>
      <c r="J105" s="26">
        <f t="shared" si="27"/>
        <v>877.30769230769226</v>
      </c>
      <c r="K105" s="26">
        <f t="shared" si="28"/>
        <v>877.30769230769226</v>
      </c>
      <c r="L105" s="26">
        <f t="shared" si="29"/>
        <v>0</v>
      </c>
      <c r="M105" s="26">
        <f t="shared" si="30"/>
        <v>95.904910714285734</v>
      </c>
      <c r="N105" s="27">
        <f t="shared" si="31"/>
        <v>184.7</v>
      </c>
      <c r="O105" s="27">
        <f t="shared" si="32"/>
        <v>185.73000000000002</v>
      </c>
      <c r="P105" s="26">
        <f t="shared" si="33"/>
        <v>1343.6426030219779</v>
      </c>
      <c r="Q105" s="26">
        <f t="shared" si="34"/>
        <v>69869.415357142847</v>
      </c>
      <c r="R105" s="16">
        <f t="shared" si="79"/>
        <v>0.45760000000000223</v>
      </c>
      <c r="S105" s="26">
        <f t="shared" si="36"/>
        <v>84379.415357142847</v>
      </c>
      <c r="T105" s="27">
        <f t="shared" si="37"/>
        <v>375</v>
      </c>
      <c r="U105" s="26">
        <f t="shared" si="60"/>
        <v>968.64260302197795</v>
      </c>
      <c r="V105" s="16">
        <f t="shared" si="58"/>
        <v>1.0576000000000021</v>
      </c>
      <c r="W105" s="28">
        <f t="shared" si="61"/>
        <v>511.65</v>
      </c>
      <c r="X105" s="29">
        <f t="shared" si="38"/>
        <v>27</v>
      </c>
      <c r="Y105" s="29">
        <f t="shared" si="39"/>
        <v>577.5</v>
      </c>
      <c r="Z105" s="29">
        <f t="shared" si="40"/>
        <v>511.65</v>
      </c>
      <c r="AA105" s="28">
        <f t="shared" si="41"/>
        <v>0</v>
      </c>
      <c r="AB105" s="28">
        <f t="shared" si="42"/>
        <v>127.91249999999999</v>
      </c>
      <c r="AC105" s="28">
        <f t="shared" si="62"/>
        <v>172.08750000000001</v>
      </c>
      <c r="AD105" s="28">
        <f t="shared" si="43"/>
        <v>129.06562500000001</v>
      </c>
      <c r="AE105" s="13">
        <f t="shared" si="63"/>
        <v>129.06562500000001</v>
      </c>
      <c r="AF105" s="13">
        <f t="shared" si="64"/>
        <v>132.64285714285711</v>
      </c>
      <c r="AG105" s="13">
        <f t="shared" si="44"/>
        <v>95.904910714285734</v>
      </c>
      <c r="AH105" s="28">
        <f t="shared" si="65"/>
        <v>231.81</v>
      </c>
      <c r="AI105" s="13">
        <f t="shared" si="66"/>
        <v>443</v>
      </c>
      <c r="AJ105" s="28">
        <f t="shared" si="67"/>
        <v>119.61000000000001</v>
      </c>
      <c r="AK105" s="13">
        <f t="shared" si="45"/>
        <v>112.19999999999999</v>
      </c>
      <c r="AL105" s="47">
        <f t="shared" si="46"/>
        <v>43</v>
      </c>
      <c r="AM105" s="13" t="str">
        <f t="shared" si="47"/>
        <v>N</v>
      </c>
      <c r="AN105" s="13">
        <f t="shared" si="48"/>
        <v>0</v>
      </c>
      <c r="AO105" s="13" t="str">
        <f t="shared" si="49"/>
        <v>Y</v>
      </c>
      <c r="AP105" s="13">
        <f t="shared" si="50"/>
        <v>72.5</v>
      </c>
      <c r="AQ105" s="13">
        <f t="shared" si="51"/>
        <v>0</v>
      </c>
      <c r="AR105" s="13">
        <f t="shared" si="52"/>
        <v>72.5</v>
      </c>
      <c r="AS105" s="9">
        <f t="shared" si="68"/>
        <v>2</v>
      </c>
      <c r="AT105" s="9">
        <f t="shared" si="69"/>
        <v>43</v>
      </c>
      <c r="AU105" s="9">
        <f t="shared" si="70"/>
        <v>0</v>
      </c>
      <c r="AV105" s="13">
        <f t="shared" si="71"/>
        <v>4.53</v>
      </c>
      <c r="AW105" s="13">
        <f t="shared" si="72"/>
        <v>0</v>
      </c>
      <c r="AX105" s="9">
        <f t="shared" si="73"/>
        <v>1</v>
      </c>
      <c r="AY105" s="9">
        <f t="shared" si="74"/>
        <v>23</v>
      </c>
      <c r="AZ105" s="28">
        <f t="shared" si="53"/>
        <v>104.19000000000001</v>
      </c>
      <c r="BA105" s="9">
        <f t="shared" si="75"/>
        <v>1</v>
      </c>
      <c r="BB105" s="9">
        <f t="shared" si="76"/>
        <v>18</v>
      </c>
      <c r="BC105" s="28">
        <f t="shared" si="54"/>
        <v>81.540000000000006</v>
      </c>
      <c r="BD105" s="28">
        <f t="shared" si="55"/>
        <v>185.73000000000002</v>
      </c>
      <c r="BE105" s="13">
        <f t="shared" si="77"/>
        <v>129</v>
      </c>
      <c r="BF105" s="13">
        <f t="shared" si="78"/>
        <v>246</v>
      </c>
      <c r="BG105" s="28">
        <f t="shared" si="56"/>
        <v>375</v>
      </c>
    </row>
    <row r="106" spans="1:59" x14ac:dyDescent="0.2">
      <c r="A106" s="8">
        <f t="shared" si="57"/>
        <v>44</v>
      </c>
      <c r="B106" s="26">
        <f t="shared" si="59"/>
        <v>1100</v>
      </c>
      <c r="C106" s="26">
        <f t="shared" si="20"/>
        <v>0</v>
      </c>
      <c r="D106" s="26">
        <f t="shared" si="21"/>
        <v>1100</v>
      </c>
      <c r="E106" s="27">
        <f t="shared" si="22"/>
        <v>0</v>
      </c>
      <c r="F106" s="26">
        <f t="shared" si="23"/>
        <v>1100</v>
      </c>
      <c r="G106" s="26">
        <f t="shared" si="24"/>
        <v>57200</v>
      </c>
      <c r="H106" s="26">
        <f t="shared" si="25"/>
        <v>10670</v>
      </c>
      <c r="I106" s="26">
        <f t="shared" si="26"/>
        <v>46530</v>
      </c>
      <c r="J106" s="26">
        <f t="shared" si="27"/>
        <v>894.80769230769226</v>
      </c>
      <c r="K106" s="26">
        <f t="shared" si="28"/>
        <v>894.80769230769226</v>
      </c>
      <c r="L106" s="26">
        <f t="shared" si="29"/>
        <v>0</v>
      </c>
      <c r="M106" s="26">
        <f t="shared" si="30"/>
        <v>89.654910714285734</v>
      </c>
      <c r="N106" s="27">
        <f t="shared" si="31"/>
        <v>177.95</v>
      </c>
      <c r="O106" s="27">
        <f t="shared" si="32"/>
        <v>194.79000000000002</v>
      </c>
      <c r="P106" s="26">
        <f t="shared" si="33"/>
        <v>1357.2026030219779</v>
      </c>
      <c r="Q106" s="26">
        <f t="shared" si="34"/>
        <v>70574.535357142857</v>
      </c>
      <c r="R106" s="16">
        <f t="shared" si="79"/>
        <v>0.45760000000000223</v>
      </c>
      <c r="S106" s="26">
        <f t="shared" si="36"/>
        <v>85084.535357142857</v>
      </c>
      <c r="T106" s="27">
        <f t="shared" si="37"/>
        <v>390</v>
      </c>
      <c r="U106" s="26">
        <f t="shared" si="60"/>
        <v>967.20260302197789</v>
      </c>
      <c r="V106" s="16">
        <f t="shared" si="58"/>
        <v>1.0576000000000021</v>
      </c>
      <c r="W106" s="28">
        <f t="shared" si="61"/>
        <v>511.65</v>
      </c>
      <c r="X106" s="29">
        <f t="shared" si="38"/>
        <v>27</v>
      </c>
      <c r="Y106" s="29">
        <f t="shared" si="39"/>
        <v>595</v>
      </c>
      <c r="Z106" s="29">
        <f t="shared" si="40"/>
        <v>511.65</v>
      </c>
      <c r="AA106" s="28">
        <f t="shared" si="41"/>
        <v>0</v>
      </c>
      <c r="AB106" s="28">
        <f t="shared" si="42"/>
        <v>127.91249999999999</v>
      </c>
      <c r="AC106" s="28">
        <f t="shared" si="62"/>
        <v>172.08750000000001</v>
      </c>
      <c r="AD106" s="28">
        <f t="shared" si="43"/>
        <v>129.06562500000001</v>
      </c>
      <c r="AE106" s="13">
        <f t="shared" si="63"/>
        <v>129.06562500000001</v>
      </c>
      <c r="AF106" s="13">
        <f t="shared" si="64"/>
        <v>157.64285714285711</v>
      </c>
      <c r="AG106" s="13">
        <f t="shared" si="44"/>
        <v>89.654910714285734</v>
      </c>
      <c r="AH106" s="28">
        <f t="shared" si="65"/>
        <v>231.81</v>
      </c>
      <c r="AI106" s="13">
        <f t="shared" si="66"/>
        <v>468</v>
      </c>
      <c r="AJ106" s="28">
        <f t="shared" si="67"/>
        <v>126.36000000000001</v>
      </c>
      <c r="AK106" s="13">
        <f t="shared" si="45"/>
        <v>105.44999999999999</v>
      </c>
      <c r="AL106" s="47">
        <f t="shared" si="46"/>
        <v>44</v>
      </c>
      <c r="AM106" s="13" t="str">
        <f t="shared" si="47"/>
        <v>N</v>
      </c>
      <c r="AN106" s="13">
        <f t="shared" si="48"/>
        <v>0</v>
      </c>
      <c r="AO106" s="13" t="str">
        <f t="shared" si="49"/>
        <v>Y</v>
      </c>
      <c r="AP106" s="13">
        <f t="shared" si="50"/>
        <v>72.5</v>
      </c>
      <c r="AQ106" s="13">
        <f t="shared" si="51"/>
        <v>0</v>
      </c>
      <c r="AR106" s="13">
        <f t="shared" si="52"/>
        <v>72.5</v>
      </c>
      <c r="AS106" s="9">
        <f t="shared" si="68"/>
        <v>2</v>
      </c>
      <c r="AT106" s="9">
        <f t="shared" si="69"/>
        <v>44</v>
      </c>
      <c r="AU106" s="9">
        <f t="shared" si="70"/>
        <v>0</v>
      </c>
      <c r="AV106" s="13">
        <f t="shared" si="71"/>
        <v>4.53</v>
      </c>
      <c r="AW106" s="13">
        <f t="shared" si="72"/>
        <v>0</v>
      </c>
      <c r="AX106" s="9">
        <f t="shared" si="73"/>
        <v>1</v>
      </c>
      <c r="AY106" s="9">
        <f t="shared" si="74"/>
        <v>24</v>
      </c>
      <c r="AZ106" s="28">
        <f t="shared" si="53"/>
        <v>108.72</v>
      </c>
      <c r="BA106" s="9">
        <f t="shared" si="75"/>
        <v>1</v>
      </c>
      <c r="BB106" s="9">
        <f t="shared" si="76"/>
        <v>19</v>
      </c>
      <c r="BC106" s="28">
        <f t="shared" si="54"/>
        <v>86.070000000000007</v>
      </c>
      <c r="BD106" s="28">
        <f t="shared" si="55"/>
        <v>194.79000000000002</v>
      </c>
      <c r="BE106" s="13">
        <f t="shared" si="77"/>
        <v>132</v>
      </c>
      <c r="BF106" s="13">
        <f t="shared" si="78"/>
        <v>258</v>
      </c>
      <c r="BG106" s="28">
        <f t="shared" si="56"/>
        <v>390</v>
      </c>
    </row>
    <row r="107" spans="1:59" x14ac:dyDescent="0.2">
      <c r="A107" s="8">
        <f t="shared" si="57"/>
        <v>45</v>
      </c>
      <c r="B107" s="26">
        <f t="shared" si="59"/>
        <v>1125</v>
      </c>
      <c r="C107" s="26">
        <f t="shared" si="20"/>
        <v>0</v>
      </c>
      <c r="D107" s="26">
        <f t="shared" si="21"/>
        <v>1125</v>
      </c>
      <c r="E107" s="27">
        <f t="shared" si="22"/>
        <v>0</v>
      </c>
      <c r="F107" s="26">
        <f t="shared" si="23"/>
        <v>1125</v>
      </c>
      <c r="G107" s="26">
        <f t="shared" si="24"/>
        <v>58500</v>
      </c>
      <c r="H107" s="26">
        <f t="shared" si="25"/>
        <v>11060</v>
      </c>
      <c r="I107" s="26">
        <f t="shared" si="26"/>
        <v>47440</v>
      </c>
      <c r="J107" s="26">
        <f t="shared" si="27"/>
        <v>912.30769230769226</v>
      </c>
      <c r="K107" s="26">
        <f t="shared" si="28"/>
        <v>912.30769230769226</v>
      </c>
      <c r="L107" s="26">
        <f t="shared" si="29"/>
        <v>0</v>
      </c>
      <c r="M107" s="26">
        <f t="shared" si="30"/>
        <v>83.404910714285734</v>
      </c>
      <c r="N107" s="27">
        <f t="shared" si="31"/>
        <v>171.2</v>
      </c>
      <c r="O107" s="27">
        <f t="shared" si="32"/>
        <v>203.85000000000002</v>
      </c>
      <c r="P107" s="26">
        <f t="shared" si="33"/>
        <v>1370.7626030219781</v>
      </c>
      <c r="Q107" s="26">
        <f t="shared" si="34"/>
        <v>71279.655357142852</v>
      </c>
      <c r="R107" s="16">
        <f t="shared" si="79"/>
        <v>0.45759999999999312</v>
      </c>
      <c r="S107" s="26">
        <f t="shared" si="36"/>
        <v>85789.655357142852</v>
      </c>
      <c r="T107" s="27">
        <f t="shared" si="37"/>
        <v>405</v>
      </c>
      <c r="U107" s="26">
        <f t="shared" si="60"/>
        <v>965.76260302197807</v>
      </c>
      <c r="V107" s="16">
        <f t="shared" si="58"/>
        <v>1.057599999999993</v>
      </c>
      <c r="W107" s="28">
        <f t="shared" si="61"/>
        <v>511.65</v>
      </c>
      <c r="X107" s="29">
        <f t="shared" si="38"/>
        <v>27</v>
      </c>
      <c r="Y107" s="29">
        <f t="shared" si="39"/>
        <v>612.5</v>
      </c>
      <c r="Z107" s="29">
        <f t="shared" si="40"/>
        <v>511.65</v>
      </c>
      <c r="AA107" s="28">
        <f t="shared" si="41"/>
        <v>0</v>
      </c>
      <c r="AB107" s="28">
        <f t="shared" si="42"/>
        <v>127.91249999999999</v>
      </c>
      <c r="AC107" s="28">
        <f t="shared" si="62"/>
        <v>172.08750000000001</v>
      </c>
      <c r="AD107" s="28">
        <f t="shared" si="43"/>
        <v>129.06562500000001</v>
      </c>
      <c r="AE107" s="13">
        <f t="shared" si="63"/>
        <v>129.06562500000001</v>
      </c>
      <c r="AF107" s="13">
        <f t="shared" si="64"/>
        <v>182.64285714285711</v>
      </c>
      <c r="AG107" s="13">
        <f t="shared" si="44"/>
        <v>83.404910714285734</v>
      </c>
      <c r="AH107" s="28">
        <f t="shared" si="65"/>
        <v>231.81</v>
      </c>
      <c r="AI107" s="13">
        <f t="shared" si="66"/>
        <v>493</v>
      </c>
      <c r="AJ107" s="28">
        <f t="shared" si="67"/>
        <v>133.11000000000001</v>
      </c>
      <c r="AK107" s="13">
        <f t="shared" si="45"/>
        <v>98.699999999999989</v>
      </c>
      <c r="AL107" s="47">
        <f t="shared" si="46"/>
        <v>45</v>
      </c>
      <c r="AM107" s="13" t="str">
        <f t="shared" si="47"/>
        <v>N</v>
      </c>
      <c r="AN107" s="13">
        <f t="shared" si="48"/>
        <v>0</v>
      </c>
      <c r="AO107" s="13" t="str">
        <f t="shared" si="49"/>
        <v>Y</v>
      </c>
      <c r="AP107" s="13">
        <f t="shared" si="50"/>
        <v>72.5</v>
      </c>
      <c r="AQ107" s="13">
        <f t="shared" si="51"/>
        <v>0</v>
      </c>
      <c r="AR107" s="13">
        <f t="shared" si="52"/>
        <v>72.5</v>
      </c>
      <c r="AS107" s="9">
        <f t="shared" si="68"/>
        <v>2</v>
      </c>
      <c r="AT107" s="9">
        <f t="shared" si="69"/>
        <v>45</v>
      </c>
      <c r="AU107" s="9">
        <f t="shared" si="70"/>
        <v>0</v>
      </c>
      <c r="AV107" s="13">
        <f t="shared" si="71"/>
        <v>4.53</v>
      </c>
      <c r="AW107" s="13">
        <f t="shared" si="72"/>
        <v>0</v>
      </c>
      <c r="AX107" s="9">
        <f t="shared" si="73"/>
        <v>1</v>
      </c>
      <c r="AY107" s="9">
        <f t="shared" si="74"/>
        <v>25</v>
      </c>
      <c r="AZ107" s="28">
        <f t="shared" si="53"/>
        <v>113.25</v>
      </c>
      <c r="BA107" s="9">
        <f t="shared" si="75"/>
        <v>1</v>
      </c>
      <c r="BB107" s="9">
        <f t="shared" si="76"/>
        <v>20</v>
      </c>
      <c r="BC107" s="28">
        <f t="shared" si="54"/>
        <v>90.600000000000009</v>
      </c>
      <c r="BD107" s="28">
        <f t="shared" si="55"/>
        <v>203.85000000000002</v>
      </c>
      <c r="BE107" s="13">
        <f t="shared" si="77"/>
        <v>135</v>
      </c>
      <c r="BF107" s="13">
        <f t="shared" si="78"/>
        <v>270</v>
      </c>
      <c r="BG107" s="28">
        <f t="shared" si="56"/>
        <v>405</v>
      </c>
    </row>
    <row r="108" spans="1:59" x14ac:dyDescent="0.2">
      <c r="A108" s="8">
        <f t="shared" si="57"/>
        <v>46</v>
      </c>
      <c r="B108" s="26">
        <f t="shared" si="59"/>
        <v>1150</v>
      </c>
      <c r="C108" s="26">
        <f t="shared" si="20"/>
        <v>0</v>
      </c>
      <c r="D108" s="26">
        <f t="shared" si="21"/>
        <v>1150</v>
      </c>
      <c r="E108" s="27">
        <f t="shared" si="22"/>
        <v>0</v>
      </c>
      <c r="F108" s="26">
        <f t="shared" si="23"/>
        <v>1150</v>
      </c>
      <c r="G108" s="26">
        <f t="shared" si="24"/>
        <v>59800</v>
      </c>
      <c r="H108" s="26">
        <f t="shared" si="25"/>
        <v>11450</v>
      </c>
      <c r="I108" s="26">
        <f t="shared" si="26"/>
        <v>48350</v>
      </c>
      <c r="J108" s="26">
        <f t="shared" si="27"/>
        <v>929.80769230769226</v>
      </c>
      <c r="K108" s="26">
        <f t="shared" si="28"/>
        <v>929.80769230769226</v>
      </c>
      <c r="L108" s="26">
        <f t="shared" si="29"/>
        <v>0</v>
      </c>
      <c r="M108" s="26">
        <f t="shared" si="30"/>
        <v>77.154910714285734</v>
      </c>
      <c r="N108" s="27">
        <f t="shared" si="31"/>
        <v>164.45</v>
      </c>
      <c r="O108" s="27">
        <f t="shared" si="32"/>
        <v>208.38</v>
      </c>
      <c r="P108" s="26">
        <f t="shared" si="33"/>
        <v>1379.7926030219778</v>
      </c>
      <c r="Q108" s="26">
        <f t="shared" si="34"/>
        <v>71749.21535714285</v>
      </c>
      <c r="R108" s="16">
        <f t="shared" si="79"/>
        <v>0.63880000000001025</v>
      </c>
      <c r="S108" s="26">
        <f t="shared" si="36"/>
        <v>86259.21535714285</v>
      </c>
      <c r="T108" s="27">
        <f t="shared" si="37"/>
        <v>414</v>
      </c>
      <c r="U108" s="26">
        <f t="shared" si="60"/>
        <v>965.79260302197781</v>
      </c>
      <c r="V108" s="16">
        <f t="shared" si="58"/>
        <v>0.99880000000001024</v>
      </c>
      <c r="W108" s="28">
        <f t="shared" si="61"/>
        <v>511.65</v>
      </c>
      <c r="X108" s="29">
        <f t="shared" si="38"/>
        <v>27</v>
      </c>
      <c r="Y108" s="29">
        <f t="shared" si="39"/>
        <v>630</v>
      </c>
      <c r="Z108" s="29">
        <f t="shared" si="40"/>
        <v>511.65</v>
      </c>
      <c r="AA108" s="28">
        <f t="shared" si="41"/>
        <v>0</v>
      </c>
      <c r="AB108" s="28">
        <f t="shared" si="42"/>
        <v>127.91249999999999</v>
      </c>
      <c r="AC108" s="28">
        <f t="shared" si="62"/>
        <v>172.08750000000001</v>
      </c>
      <c r="AD108" s="28">
        <f t="shared" si="43"/>
        <v>129.06562500000001</v>
      </c>
      <c r="AE108" s="13">
        <f t="shared" si="63"/>
        <v>129.06562500000001</v>
      </c>
      <c r="AF108" s="13">
        <f t="shared" si="64"/>
        <v>207.64285714285711</v>
      </c>
      <c r="AG108" s="13">
        <f t="shared" si="44"/>
        <v>77.154910714285734</v>
      </c>
      <c r="AH108" s="28">
        <f t="shared" si="65"/>
        <v>231.81</v>
      </c>
      <c r="AI108" s="13">
        <f t="shared" si="66"/>
        <v>518</v>
      </c>
      <c r="AJ108" s="28">
        <f t="shared" si="67"/>
        <v>139.86000000000001</v>
      </c>
      <c r="AK108" s="13">
        <f t="shared" si="45"/>
        <v>91.949999999999989</v>
      </c>
      <c r="AL108" s="47">
        <f t="shared" si="46"/>
        <v>46</v>
      </c>
      <c r="AM108" s="13" t="str">
        <f t="shared" si="47"/>
        <v>N</v>
      </c>
      <c r="AN108" s="13">
        <f t="shared" si="48"/>
        <v>0</v>
      </c>
      <c r="AO108" s="13" t="str">
        <f t="shared" si="49"/>
        <v>Y</v>
      </c>
      <c r="AP108" s="13">
        <f t="shared" si="50"/>
        <v>72.5</v>
      </c>
      <c r="AQ108" s="13">
        <f t="shared" si="51"/>
        <v>0</v>
      </c>
      <c r="AR108" s="13">
        <f t="shared" si="52"/>
        <v>72.5</v>
      </c>
      <c r="AS108" s="9">
        <f t="shared" si="68"/>
        <v>2</v>
      </c>
      <c r="AT108" s="9">
        <f t="shared" si="69"/>
        <v>46</v>
      </c>
      <c r="AU108" s="9">
        <f t="shared" si="70"/>
        <v>0</v>
      </c>
      <c r="AV108" s="13">
        <f t="shared" si="71"/>
        <v>4.53</v>
      </c>
      <c r="AW108" s="13">
        <f t="shared" si="72"/>
        <v>0</v>
      </c>
      <c r="AX108" s="9">
        <f t="shared" si="73"/>
        <v>1</v>
      </c>
      <c r="AY108" s="9">
        <f t="shared" si="74"/>
        <v>26</v>
      </c>
      <c r="AZ108" s="28">
        <f t="shared" si="53"/>
        <v>117.78</v>
      </c>
      <c r="BA108" s="9">
        <f t="shared" si="75"/>
        <v>1</v>
      </c>
      <c r="BB108" s="9">
        <f t="shared" si="76"/>
        <v>20</v>
      </c>
      <c r="BC108" s="28">
        <f t="shared" si="54"/>
        <v>90.600000000000009</v>
      </c>
      <c r="BD108" s="28">
        <f t="shared" si="55"/>
        <v>208.38</v>
      </c>
      <c r="BE108" s="13">
        <f t="shared" si="77"/>
        <v>138</v>
      </c>
      <c r="BF108" s="13">
        <f t="shared" si="78"/>
        <v>276</v>
      </c>
      <c r="BG108" s="28">
        <f t="shared" si="56"/>
        <v>414</v>
      </c>
    </row>
    <row r="109" spans="1:59" x14ac:dyDescent="0.2">
      <c r="A109" s="8">
        <f t="shared" si="57"/>
        <v>47</v>
      </c>
      <c r="B109" s="26">
        <f t="shared" si="59"/>
        <v>1175</v>
      </c>
      <c r="C109" s="26">
        <f t="shared" si="20"/>
        <v>0</v>
      </c>
      <c r="D109" s="26">
        <f t="shared" si="21"/>
        <v>1175</v>
      </c>
      <c r="E109" s="27">
        <f t="shared" si="22"/>
        <v>0</v>
      </c>
      <c r="F109" s="26">
        <f t="shared" si="23"/>
        <v>1175</v>
      </c>
      <c r="G109" s="26">
        <f t="shared" si="24"/>
        <v>61100</v>
      </c>
      <c r="H109" s="26">
        <f t="shared" si="25"/>
        <v>11840</v>
      </c>
      <c r="I109" s="26">
        <f t="shared" si="26"/>
        <v>49260</v>
      </c>
      <c r="J109" s="26">
        <f t="shared" si="27"/>
        <v>947.30769230769226</v>
      </c>
      <c r="K109" s="26">
        <f t="shared" si="28"/>
        <v>947.30769230769226</v>
      </c>
      <c r="L109" s="26">
        <f t="shared" si="29"/>
        <v>0</v>
      </c>
      <c r="M109" s="26">
        <f t="shared" si="30"/>
        <v>70.904910714285734</v>
      </c>
      <c r="N109" s="27">
        <f t="shared" si="31"/>
        <v>157.69999999999999</v>
      </c>
      <c r="O109" s="27">
        <f t="shared" si="32"/>
        <v>212.91000000000003</v>
      </c>
      <c r="P109" s="26">
        <f t="shared" si="33"/>
        <v>1388.822603021978</v>
      </c>
      <c r="Q109" s="26">
        <f t="shared" si="34"/>
        <v>72218.775357142862</v>
      </c>
      <c r="R109" s="16">
        <f t="shared" si="79"/>
        <v>0.63879999999999204</v>
      </c>
      <c r="S109" s="26">
        <f t="shared" si="36"/>
        <v>86728.775357142862</v>
      </c>
      <c r="T109" s="27">
        <f t="shared" si="37"/>
        <v>423</v>
      </c>
      <c r="U109" s="26">
        <f t="shared" si="60"/>
        <v>965.82260302197801</v>
      </c>
      <c r="V109" s="16">
        <f t="shared" si="58"/>
        <v>0.99879999999999203</v>
      </c>
      <c r="W109" s="28">
        <f t="shared" si="61"/>
        <v>511.65</v>
      </c>
      <c r="X109" s="29">
        <f t="shared" si="38"/>
        <v>27</v>
      </c>
      <c r="Y109" s="29">
        <f t="shared" si="39"/>
        <v>647.5</v>
      </c>
      <c r="Z109" s="29">
        <f t="shared" si="40"/>
        <v>511.65</v>
      </c>
      <c r="AA109" s="28">
        <f t="shared" si="41"/>
        <v>0</v>
      </c>
      <c r="AB109" s="28">
        <f t="shared" si="42"/>
        <v>127.91249999999999</v>
      </c>
      <c r="AC109" s="28">
        <f t="shared" si="62"/>
        <v>172.08750000000001</v>
      </c>
      <c r="AD109" s="28">
        <f t="shared" si="43"/>
        <v>129.06562500000001</v>
      </c>
      <c r="AE109" s="13">
        <f t="shared" si="63"/>
        <v>129.06562500000001</v>
      </c>
      <c r="AF109" s="13">
        <f t="shared" si="64"/>
        <v>232.64285714285711</v>
      </c>
      <c r="AG109" s="13">
        <f t="shared" si="44"/>
        <v>70.904910714285734</v>
      </c>
      <c r="AH109" s="28">
        <f t="shared" si="65"/>
        <v>231.81</v>
      </c>
      <c r="AI109" s="13">
        <f t="shared" si="66"/>
        <v>543</v>
      </c>
      <c r="AJ109" s="28">
        <f t="shared" si="67"/>
        <v>146.61000000000001</v>
      </c>
      <c r="AK109" s="13">
        <f t="shared" si="45"/>
        <v>85.199999999999989</v>
      </c>
      <c r="AL109" s="47">
        <f t="shared" si="46"/>
        <v>47</v>
      </c>
      <c r="AM109" s="13" t="str">
        <f t="shared" si="47"/>
        <v>N</v>
      </c>
      <c r="AN109" s="13">
        <f t="shared" si="48"/>
        <v>0</v>
      </c>
      <c r="AO109" s="13" t="str">
        <f t="shared" si="49"/>
        <v>Y</v>
      </c>
      <c r="AP109" s="13">
        <f t="shared" si="50"/>
        <v>72.5</v>
      </c>
      <c r="AQ109" s="13">
        <f t="shared" si="51"/>
        <v>0</v>
      </c>
      <c r="AR109" s="13">
        <f t="shared" si="52"/>
        <v>72.5</v>
      </c>
      <c r="AS109" s="9">
        <f t="shared" si="68"/>
        <v>2</v>
      </c>
      <c r="AT109" s="9">
        <f t="shared" si="69"/>
        <v>47</v>
      </c>
      <c r="AU109" s="9">
        <f t="shared" si="70"/>
        <v>0</v>
      </c>
      <c r="AV109" s="13">
        <f t="shared" si="71"/>
        <v>4.53</v>
      </c>
      <c r="AW109" s="13">
        <f t="shared" si="72"/>
        <v>0</v>
      </c>
      <c r="AX109" s="9">
        <f t="shared" si="73"/>
        <v>1</v>
      </c>
      <c r="AY109" s="9">
        <f t="shared" si="74"/>
        <v>27</v>
      </c>
      <c r="AZ109" s="28">
        <f t="shared" si="53"/>
        <v>122.31</v>
      </c>
      <c r="BA109" s="9">
        <f t="shared" si="75"/>
        <v>1</v>
      </c>
      <c r="BB109" s="9">
        <f t="shared" si="76"/>
        <v>20</v>
      </c>
      <c r="BC109" s="28">
        <f t="shared" si="54"/>
        <v>90.600000000000009</v>
      </c>
      <c r="BD109" s="28">
        <f t="shared" si="55"/>
        <v>212.91000000000003</v>
      </c>
      <c r="BE109" s="13">
        <f t="shared" si="77"/>
        <v>141</v>
      </c>
      <c r="BF109" s="13">
        <f t="shared" si="78"/>
        <v>282</v>
      </c>
      <c r="BG109" s="28">
        <f t="shared" si="56"/>
        <v>423</v>
      </c>
    </row>
    <row r="110" spans="1:59" x14ac:dyDescent="0.2">
      <c r="A110" s="8">
        <f t="shared" si="57"/>
        <v>48</v>
      </c>
      <c r="B110" s="26">
        <f t="shared" si="59"/>
        <v>1200</v>
      </c>
      <c r="C110" s="26">
        <f t="shared" si="20"/>
        <v>0</v>
      </c>
      <c r="D110" s="26">
        <f t="shared" si="21"/>
        <v>1200</v>
      </c>
      <c r="E110" s="27">
        <f t="shared" si="22"/>
        <v>0</v>
      </c>
      <c r="F110" s="26">
        <f t="shared" si="23"/>
        <v>1200</v>
      </c>
      <c r="G110" s="26">
        <f t="shared" si="24"/>
        <v>62400</v>
      </c>
      <c r="H110" s="26">
        <f t="shared" si="25"/>
        <v>12230</v>
      </c>
      <c r="I110" s="26">
        <f t="shared" si="26"/>
        <v>50170</v>
      </c>
      <c r="J110" s="26">
        <f t="shared" si="27"/>
        <v>964.80769230769226</v>
      </c>
      <c r="K110" s="26">
        <f t="shared" si="28"/>
        <v>964.80769230769226</v>
      </c>
      <c r="L110" s="26">
        <f t="shared" si="29"/>
        <v>0</v>
      </c>
      <c r="M110" s="26">
        <f t="shared" si="30"/>
        <v>64.654910714285734</v>
      </c>
      <c r="N110" s="27">
        <f t="shared" si="31"/>
        <v>150.94999999999999</v>
      </c>
      <c r="O110" s="27">
        <f t="shared" si="32"/>
        <v>217.44</v>
      </c>
      <c r="P110" s="26">
        <f t="shared" si="33"/>
        <v>1397.852603021978</v>
      </c>
      <c r="Q110" s="26">
        <f t="shared" si="34"/>
        <v>72688.33535714286</v>
      </c>
      <c r="R110" s="16">
        <f t="shared" si="79"/>
        <v>0.63880000000000114</v>
      </c>
      <c r="S110" s="26">
        <f t="shared" si="36"/>
        <v>87198.33535714286</v>
      </c>
      <c r="T110" s="27">
        <f t="shared" si="37"/>
        <v>432</v>
      </c>
      <c r="U110" s="26">
        <f t="shared" si="60"/>
        <v>965.85260302197798</v>
      </c>
      <c r="V110" s="16">
        <f t="shared" si="58"/>
        <v>0.99880000000000113</v>
      </c>
      <c r="W110" s="28">
        <f t="shared" si="61"/>
        <v>511.65</v>
      </c>
      <c r="X110" s="29">
        <f t="shared" si="38"/>
        <v>27</v>
      </c>
      <c r="Y110" s="29">
        <f t="shared" si="39"/>
        <v>665</v>
      </c>
      <c r="Z110" s="29">
        <f t="shared" si="40"/>
        <v>511.65</v>
      </c>
      <c r="AA110" s="28">
        <f t="shared" si="41"/>
        <v>0</v>
      </c>
      <c r="AB110" s="28">
        <f t="shared" si="42"/>
        <v>127.91249999999999</v>
      </c>
      <c r="AC110" s="28">
        <f t="shared" si="62"/>
        <v>172.08750000000001</v>
      </c>
      <c r="AD110" s="28">
        <f t="shared" si="43"/>
        <v>129.06562500000001</v>
      </c>
      <c r="AE110" s="13">
        <f t="shared" si="63"/>
        <v>129.06562500000001</v>
      </c>
      <c r="AF110" s="13">
        <f t="shared" si="64"/>
        <v>257.64285714285711</v>
      </c>
      <c r="AG110" s="13">
        <f t="shared" si="44"/>
        <v>64.654910714285734</v>
      </c>
      <c r="AH110" s="28">
        <f t="shared" si="65"/>
        <v>231.81</v>
      </c>
      <c r="AI110" s="13">
        <f t="shared" si="66"/>
        <v>568</v>
      </c>
      <c r="AJ110" s="28">
        <f t="shared" si="67"/>
        <v>153.36000000000001</v>
      </c>
      <c r="AK110" s="13">
        <f t="shared" si="45"/>
        <v>78.449999999999989</v>
      </c>
      <c r="AL110" s="47">
        <f t="shared" si="46"/>
        <v>48</v>
      </c>
      <c r="AM110" s="13" t="str">
        <f t="shared" si="47"/>
        <v>N</v>
      </c>
      <c r="AN110" s="13">
        <f t="shared" si="48"/>
        <v>0</v>
      </c>
      <c r="AO110" s="13" t="str">
        <f t="shared" si="49"/>
        <v>Y</v>
      </c>
      <c r="AP110" s="13">
        <f t="shared" si="50"/>
        <v>72.5</v>
      </c>
      <c r="AQ110" s="13">
        <f t="shared" si="51"/>
        <v>0</v>
      </c>
      <c r="AR110" s="13">
        <f t="shared" si="52"/>
        <v>72.5</v>
      </c>
      <c r="AS110" s="9">
        <f t="shared" si="68"/>
        <v>2</v>
      </c>
      <c r="AT110" s="9">
        <f t="shared" si="69"/>
        <v>48</v>
      </c>
      <c r="AU110" s="9">
        <f t="shared" si="70"/>
        <v>0</v>
      </c>
      <c r="AV110" s="13">
        <f t="shared" si="71"/>
        <v>4.53</v>
      </c>
      <c r="AW110" s="13">
        <f t="shared" si="72"/>
        <v>0</v>
      </c>
      <c r="AX110" s="9">
        <f t="shared" si="73"/>
        <v>1</v>
      </c>
      <c r="AY110" s="9">
        <f t="shared" si="74"/>
        <v>28</v>
      </c>
      <c r="AZ110" s="28">
        <f t="shared" si="53"/>
        <v>126.84</v>
      </c>
      <c r="BA110" s="9">
        <f t="shared" si="75"/>
        <v>1</v>
      </c>
      <c r="BB110" s="9">
        <f t="shared" si="76"/>
        <v>20</v>
      </c>
      <c r="BC110" s="28">
        <f t="shared" si="54"/>
        <v>90.600000000000009</v>
      </c>
      <c r="BD110" s="28">
        <f t="shared" si="55"/>
        <v>217.44</v>
      </c>
      <c r="BE110" s="13">
        <f t="shared" si="77"/>
        <v>144</v>
      </c>
      <c r="BF110" s="13">
        <f t="shared" si="78"/>
        <v>288</v>
      </c>
      <c r="BG110" s="28">
        <f t="shared" si="56"/>
        <v>432</v>
      </c>
    </row>
    <row r="111" spans="1:59" x14ac:dyDescent="0.2">
      <c r="A111" s="8">
        <f t="shared" si="57"/>
        <v>49</v>
      </c>
      <c r="B111" s="26">
        <f t="shared" si="59"/>
        <v>1225</v>
      </c>
      <c r="C111" s="26">
        <f t="shared" si="20"/>
        <v>0</v>
      </c>
      <c r="D111" s="26">
        <f t="shared" si="21"/>
        <v>1225</v>
      </c>
      <c r="E111" s="27">
        <f t="shared" si="22"/>
        <v>0</v>
      </c>
      <c r="F111" s="26">
        <f t="shared" si="23"/>
        <v>1225</v>
      </c>
      <c r="G111" s="26">
        <f t="shared" si="24"/>
        <v>63700</v>
      </c>
      <c r="H111" s="26">
        <f t="shared" si="25"/>
        <v>12620</v>
      </c>
      <c r="I111" s="26">
        <f t="shared" si="26"/>
        <v>51080</v>
      </c>
      <c r="J111" s="26">
        <f t="shared" si="27"/>
        <v>982.30769230769226</v>
      </c>
      <c r="K111" s="26">
        <f t="shared" si="28"/>
        <v>982.30769230769226</v>
      </c>
      <c r="L111" s="26">
        <f t="shared" si="29"/>
        <v>0</v>
      </c>
      <c r="M111" s="26">
        <f t="shared" si="30"/>
        <v>58.404910714285734</v>
      </c>
      <c r="N111" s="27">
        <f t="shared" si="31"/>
        <v>144.19999999999999</v>
      </c>
      <c r="O111" s="27">
        <f t="shared" si="32"/>
        <v>221.97000000000003</v>
      </c>
      <c r="P111" s="26">
        <f t="shared" si="33"/>
        <v>1406.882603021978</v>
      </c>
      <c r="Q111" s="26">
        <f t="shared" si="34"/>
        <v>73157.895357142857</v>
      </c>
      <c r="R111" s="16">
        <f t="shared" si="79"/>
        <v>0.63880000000000114</v>
      </c>
      <c r="S111" s="26">
        <f t="shared" si="36"/>
        <v>87667.895357142857</v>
      </c>
      <c r="T111" s="27">
        <f t="shared" si="37"/>
        <v>441</v>
      </c>
      <c r="U111" s="26">
        <f t="shared" si="60"/>
        <v>965.88260302197796</v>
      </c>
      <c r="V111" s="16">
        <f t="shared" si="58"/>
        <v>0.99880000000000113</v>
      </c>
      <c r="W111" s="28">
        <f t="shared" si="61"/>
        <v>511.65</v>
      </c>
      <c r="X111" s="29">
        <f t="shared" si="38"/>
        <v>27</v>
      </c>
      <c r="Y111" s="29">
        <f t="shared" si="39"/>
        <v>682.5</v>
      </c>
      <c r="Z111" s="29">
        <f t="shared" si="40"/>
        <v>511.65</v>
      </c>
      <c r="AA111" s="28">
        <f t="shared" si="41"/>
        <v>0</v>
      </c>
      <c r="AB111" s="28">
        <f t="shared" si="42"/>
        <v>127.91249999999999</v>
      </c>
      <c r="AC111" s="28">
        <f t="shared" si="62"/>
        <v>172.08750000000001</v>
      </c>
      <c r="AD111" s="28">
        <f t="shared" si="43"/>
        <v>129.06562500000001</v>
      </c>
      <c r="AE111" s="13">
        <f t="shared" si="63"/>
        <v>129.06562500000001</v>
      </c>
      <c r="AF111" s="13">
        <f t="shared" si="64"/>
        <v>282.64285714285711</v>
      </c>
      <c r="AG111" s="13">
        <f t="shared" si="44"/>
        <v>58.404910714285734</v>
      </c>
      <c r="AH111" s="28">
        <f t="shared" si="65"/>
        <v>231.81</v>
      </c>
      <c r="AI111" s="13">
        <f t="shared" si="66"/>
        <v>593</v>
      </c>
      <c r="AJ111" s="28">
        <f t="shared" si="67"/>
        <v>160.11000000000001</v>
      </c>
      <c r="AK111" s="13">
        <f t="shared" si="45"/>
        <v>71.699999999999989</v>
      </c>
      <c r="AL111" s="47">
        <f t="shared" si="46"/>
        <v>49</v>
      </c>
      <c r="AM111" s="13" t="str">
        <f t="shared" si="47"/>
        <v>N</v>
      </c>
      <c r="AN111" s="13">
        <f t="shared" si="48"/>
        <v>0</v>
      </c>
      <c r="AO111" s="13" t="str">
        <f t="shared" si="49"/>
        <v>Y</v>
      </c>
      <c r="AP111" s="13">
        <f t="shared" si="50"/>
        <v>72.5</v>
      </c>
      <c r="AQ111" s="13">
        <f t="shared" si="51"/>
        <v>0</v>
      </c>
      <c r="AR111" s="13">
        <f t="shared" si="52"/>
        <v>72.5</v>
      </c>
      <c r="AS111" s="9">
        <f t="shared" si="68"/>
        <v>2</v>
      </c>
      <c r="AT111" s="9">
        <f t="shared" si="69"/>
        <v>49</v>
      </c>
      <c r="AU111" s="9">
        <f t="shared" si="70"/>
        <v>0</v>
      </c>
      <c r="AV111" s="13">
        <f t="shared" si="71"/>
        <v>4.53</v>
      </c>
      <c r="AW111" s="13">
        <f t="shared" si="72"/>
        <v>0</v>
      </c>
      <c r="AX111" s="9">
        <f t="shared" si="73"/>
        <v>1</v>
      </c>
      <c r="AY111" s="9">
        <f t="shared" si="74"/>
        <v>29</v>
      </c>
      <c r="AZ111" s="28">
        <f t="shared" si="53"/>
        <v>131.37</v>
      </c>
      <c r="BA111" s="9">
        <f t="shared" si="75"/>
        <v>1</v>
      </c>
      <c r="BB111" s="9">
        <f t="shared" si="76"/>
        <v>20</v>
      </c>
      <c r="BC111" s="28">
        <f t="shared" si="54"/>
        <v>90.600000000000009</v>
      </c>
      <c r="BD111" s="28">
        <f t="shared" si="55"/>
        <v>221.97000000000003</v>
      </c>
      <c r="BE111" s="13">
        <f t="shared" si="77"/>
        <v>147</v>
      </c>
      <c r="BF111" s="13">
        <f t="shared" si="78"/>
        <v>294</v>
      </c>
      <c r="BG111" s="28">
        <f t="shared" si="56"/>
        <v>441</v>
      </c>
    </row>
    <row r="112" spans="1:59" x14ac:dyDescent="0.2">
      <c r="A112" s="8">
        <f t="shared" si="57"/>
        <v>50</v>
      </c>
      <c r="B112" s="26">
        <f t="shared" si="59"/>
        <v>1250</v>
      </c>
      <c r="C112" s="26">
        <f t="shared" si="20"/>
        <v>0</v>
      </c>
      <c r="D112" s="26">
        <f t="shared" si="21"/>
        <v>1250</v>
      </c>
      <c r="E112" s="27">
        <f t="shared" si="22"/>
        <v>0</v>
      </c>
      <c r="F112" s="26">
        <f t="shared" si="23"/>
        <v>1250</v>
      </c>
      <c r="G112" s="26">
        <f t="shared" si="24"/>
        <v>65000</v>
      </c>
      <c r="H112" s="26">
        <f t="shared" si="25"/>
        <v>13010</v>
      </c>
      <c r="I112" s="26">
        <f t="shared" si="26"/>
        <v>51990</v>
      </c>
      <c r="J112" s="26">
        <f t="shared" si="27"/>
        <v>999.80769230769226</v>
      </c>
      <c r="K112" s="26">
        <f t="shared" si="28"/>
        <v>999.80769230769226</v>
      </c>
      <c r="L112" s="26">
        <f t="shared" si="29"/>
        <v>0</v>
      </c>
      <c r="M112" s="26">
        <f t="shared" si="30"/>
        <v>52.154910714285734</v>
      </c>
      <c r="N112" s="27">
        <f t="shared" si="31"/>
        <v>137.44999999999999</v>
      </c>
      <c r="O112" s="27">
        <f t="shared" si="32"/>
        <v>226.5</v>
      </c>
      <c r="P112" s="26">
        <f t="shared" si="33"/>
        <v>1415.9126030219779</v>
      </c>
      <c r="Q112" s="26">
        <f t="shared" si="34"/>
        <v>73627.455357142855</v>
      </c>
      <c r="R112" s="16">
        <f t="shared" si="79"/>
        <v>0.63880000000000114</v>
      </c>
      <c r="S112" s="26">
        <f t="shared" si="36"/>
        <v>88137.455357142855</v>
      </c>
      <c r="T112" s="27">
        <f t="shared" si="37"/>
        <v>450</v>
      </c>
      <c r="U112" s="26">
        <f t="shared" si="60"/>
        <v>965.91260302197793</v>
      </c>
      <c r="V112" s="16">
        <f t="shared" si="58"/>
        <v>0.99880000000000113</v>
      </c>
      <c r="W112" s="28">
        <f t="shared" si="61"/>
        <v>511.65</v>
      </c>
      <c r="X112" s="29">
        <f t="shared" si="38"/>
        <v>27</v>
      </c>
      <c r="Y112" s="29">
        <f t="shared" si="39"/>
        <v>700</v>
      </c>
      <c r="Z112" s="29">
        <f t="shared" si="40"/>
        <v>511.65</v>
      </c>
      <c r="AA112" s="28">
        <f t="shared" si="41"/>
        <v>0</v>
      </c>
      <c r="AB112" s="28">
        <f t="shared" si="42"/>
        <v>127.91249999999999</v>
      </c>
      <c r="AC112" s="28">
        <f t="shared" si="62"/>
        <v>172.08750000000001</v>
      </c>
      <c r="AD112" s="28">
        <f t="shared" si="43"/>
        <v>129.06562500000001</v>
      </c>
      <c r="AE112" s="13">
        <f t="shared" si="63"/>
        <v>129.06562500000001</v>
      </c>
      <c r="AF112" s="13">
        <f t="shared" si="64"/>
        <v>307.64285714285711</v>
      </c>
      <c r="AG112" s="13">
        <f t="shared" si="44"/>
        <v>52.154910714285734</v>
      </c>
      <c r="AH112" s="28">
        <f t="shared" si="65"/>
        <v>231.81</v>
      </c>
      <c r="AI112" s="13">
        <f t="shared" si="66"/>
        <v>618</v>
      </c>
      <c r="AJ112" s="28">
        <f t="shared" si="67"/>
        <v>166.86</v>
      </c>
      <c r="AK112" s="13">
        <f t="shared" si="45"/>
        <v>64.949999999999989</v>
      </c>
      <c r="AL112" s="47">
        <f t="shared" si="46"/>
        <v>50</v>
      </c>
      <c r="AM112" s="13" t="str">
        <f t="shared" si="47"/>
        <v>N</v>
      </c>
      <c r="AN112" s="13">
        <f t="shared" si="48"/>
        <v>0</v>
      </c>
      <c r="AO112" s="13" t="str">
        <f t="shared" si="49"/>
        <v>Y</v>
      </c>
      <c r="AP112" s="13">
        <f t="shared" si="50"/>
        <v>72.5</v>
      </c>
      <c r="AQ112" s="13">
        <f t="shared" si="51"/>
        <v>0</v>
      </c>
      <c r="AR112" s="13">
        <f t="shared" si="52"/>
        <v>72.5</v>
      </c>
      <c r="AS112" s="9">
        <f t="shared" si="68"/>
        <v>2</v>
      </c>
      <c r="AT112" s="9">
        <f t="shared" si="69"/>
        <v>50</v>
      </c>
      <c r="AU112" s="9">
        <f t="shared" si="70"/>
        <v>0</v>
      </c>
      <c r="AV112" s="13">
        <f t="shared" si="71"/>
        <v>4.53</v>
      </c>
      <c r="AW112" s="13">
        <f t="shared" si="72"/>
        <v>0</v>
      </c>
      <c r="AX112" s="9">
        <f t="shared" si="73"/>
        <v>1</v>
      </c>
      <c r="AY112" s="9">
        <f t="shared" si="74"/>
        <v>30</v>
      </c>
      <c r="AZ112" s="28">
        <f t="shared" si="53"/>
        <v>135.9</v>
      </c>
      <c r="BA112" s="9">
        <f t="shared" si="75"/>
        <v>1</v>
      </c>
      <c r="BB112" s="9">
        <f t="shared" si="76"/>
        <v>20</v>
      </c>
      <c r="BC112" s="28">
        <f t="shared" si="54"/>
        <v>90.600000000000009</v>
      </c>
      <c r="BD112" s="28">
        <f t="shared" si="55"/>
        <v>226.5</v>
      </c>
      <c r="BE112" s="13">
        <f t="shared" si="77"/>
        <v>150</v>
      </c>
      <c r="BF112" s="13">
        <f t="shared" si="78"/>
        <v>300</v>
      </c>
      <c r="BG112" s="28">
        <f t="shared" si="56"/>
        <v>450</v>
      </c>
    </row>
    <row r="113" spans="1:59" x14ac:dyDescent="0.2">
      <c r="A113" s="8">
        <f t="shared" si="57"/>
        <v>51</v>
      </c>
      <c r="B113" s="26">
        <f t="shared" si="59"/>
        <v>1275</v>
      </c>
      <c r="C113" s="26">
        <f t="shared" si="20"/>
        <v>0</v>
      </c>
      <c r="D113" s="26">
        <f t="shared" si="21"/>
        <v>1275</v>
      </c>
      <c r="E113" s="27">
        <f t="shared" si="22"/>
        <v>0</v>
      </c>
      <c r="F113" s="26">
        <f t="shared" si="23"/>
        <v>1275</v>
      </c>
      <c r="G113" s="26">
        <f t="shared" si="24"/>
        <v>66300</v>
      </c>
      <c r="H113" s="26">
        <f t="shared" si="25"/>
        <v>13400</v>
      </c>
      <c r="I113" s="26">
        <f t="shared" si="26"/>
        <v>52900</v>
      </c>
      <c r="J113" s="26">
        <f t="shared" si="27"/>
        <v>1017.3076923076923</v>
      </c>
      <c r="K113" s="26">
        <f t="shared" si="28"/>
        <v>1017.3076923076923</v>
      </c>
      <c r="L113" s="26">
        <f t="shared" si="29"/>
        <v>0</v>
      </c>
      <c r="M113" s="26">
        <f t="shared" si="30"/>
        <v>45.904910714285734</v>
      </c>
      <c r="N113" s="27">
        <f t="shared" si="31"/>
        <v>130.69999999999999</v>
      </c>
      <c r="O113" s="27">
        <f t="shared" si="32"/>
        <v>203.85000000000002</v>
      </c>
      <c r="P113" s="26">
        <f t="shared" si="33"/>
        <v>1397.7626030219781</v>
      </c>
      <c r="Q113" s="26">
        <f t="shared" si="34"/>
        <v>72683.655357142852</v>
      </c>
      <c r="R113" s="16">
        <f t="shared" si="79"/>
        <v>1.7259999999999946</v>
      </c>
      <c r="S113" s="26">
        <f t="shared" si="36"/>
        <v>87193.655357142852</v>
      </c>
      <c r="T113" s="27">
        <f t="shared" si="37"/>
        <v>423</v>
      </c>
      <c r="U113" s="26">
        <f t="shared" si="60"/>
        <v>974.76260302197807</v>
      </c>
      <c r="V113" s="16">
        <f t="shared" si="58"/>
        <v>0.64599999999999458</v>
      </c>
      <c r="W113" s="28">
        <f t="shared" si="61"/>
        <v>511.65</v>
      </c>
      <c r="X113" s="29">
        <f t="shared" si="38"/>
        <v>27</v>
      </c>
      <c r="Y113" s="29">
        <f t="shared" si="39"/>
        <v>717.5</v>
      </c>
      <c r="Z113" s="29">
        <f t="shared" si="40"/>
        <v>511.65</v>
      </c>
      <c r="AA113" s="28">
        <f t="shared" si="41"/>
        <v>0</v>
      </c>
      <c r="AB113" s="28">
        <f t="shared" si="42"/>
        <v>127.91249999999999</v>
      </c>
      <c r="AC113" s="28">
        <f t="shared" si="62"/>
        <v>172.08750000000001</v>
      </c>
      <c r="AD113" s="28">
        <f t="shared" si="43"/>
        <v>129.06562500000001</v>
      </c>
      <c r="AE113" s="13">
        <f t="shared" si="63"/>
        <v>129.06562500000001</v>
      </c>
      <c r="AF113" s="13">
        <f t="shared" si="64"/>
        <v>332.64285714285711</v>
      </c>
      <c r="AG113" s="13">
        <f t="shared" si="44"/>
        <v>45.904910714285734</v>
      </c>
      <c r="AH113" s="28">
        <f t="shared" si="65"/>
        <v>231.81</v>
      </c>
      <c r="AI113" s="13">
        <f t="shared" si="66"/>
        <v>643</v>
      </c>
      <c r="AJ113" s="28">
        <f t="shared" si="67"/>
        <v>173.61</v>
      </c>
      <c r="AK113" s="13">
        <f t="shared" si="45"/>
        <v>58.199999999999989</v>
      </c>
      <c r="AL113" s="47">
        <f t="shared" si="46"/>
        <v>51</v>
      </c>
      <c r="AM113" s="13" t="str">
        <f t="shared" si="47"/>
        <v>N</v>
      </c>
      <c r="AN113" s="13">
        <f t="shared" si="48"/>
        <v>0</v>
      </c>
      <c r="AO113" s="13" t="str">
        <f t="shared" si="49"/>
        <v>Y</v>
      </c>
      <c r="AP113" s="13">
        <f t="shared" si="50"/>
        <v>72.5</v>
      </c>
      <c r="AQ113" s="13">
        <f t="shared" si="51"/>
        <v>0</v>
      </c>
      <c r="AR113" s="13">
        <f t="shared" si="52"/>
        <v>72.5</v>
      </c>
      <c r="AS113" s="9">
        <f t="shared" si="68"/>
        <v>2</v>
      </c>
      <c r="AT113" s="9">
        <f t="shared" si="69"/>
        <v>50</v>
      </c>
      <c r="AU113" s="9">
        <f t="shared" si="70"/>
        <v>0</v>
      </c>
      <c r="AV113" s="13">
        <f t="shared" si="71"/>
        <v>4.53</v>
      </c>
      <c r="AW113" s="13">
        <f t="shared" si="72"/>
        <v>0</v>
      </c>
      <c r="AX113" s="9">
        <f t="shared" si="73"/>
        <v>1</v>
      </c>
      <c r="AY113" s="9">
        <f t="shared" si="74"/>
        <v>25</v>
      </c>
      <c r="AZ113" s="28">
        <f t="shared" si="53"/>
        <v>113.25</v>
      </c>
      <c r="BA113" s="9">
        <f t="shared" si="75"/>
        <v>1</v>
      </c>
      <c r="BB113" s="9">
        <f t="shared" si="76"/>
        <v>20</v>
      </c>
      <c r="BC113" s="28">
        <f t="shared" si="54"/>
        <v>90.600000000000009</v>
      </c>
      <c r="BD113" s="28">
        <f t="shared" si="55"/>
        <v>203.85000000000002</v>
      </c>
      <c r="BE113" s="13">
        <f t="shared" si="77"/>
        <v>153</v>
      </c>
      <c r="BF113" s="13">
        <f t="shared" si="78"/>
        <v>270</v>
      </c>
      <c r="BG113" s="28">
        <f t="shared" si="56"/>
        <v>423</v>
      </c>
    </row>
    <row r="114" spans="1:59" x14ac:dyDescent="0.2">
      <c r="A114" s="8">
        <f t="shared" si="57"/>
        <v>52</v>
      </c>
      <c r="B114" s="26">
        <f t="shared" si="59"/>
        <v>1300</v>
      </c>
      <c r="C114" s="26">
        <f t="shared" si="20"/>
        <v>0</v>
      </c>
      <c r="D114" s="26">
        <f t="shared" si="21"/>
        <v>1300</v>
      </c>
      <c r="E114" s="27">
        <f t="shared" si="22"/>
        <v>0</v>
      </c>
      <c r="F114" s="26">
        <f t="shared" si="23"/>
        <v>1300</v>
      </c>
      <c r="G114" s="26">
        <f t="shared" si="24"/>
        <v>67600</v>
      </c>
      <c r="H114" s="26">
        <f t="shared" si="25"/>
        <v>13790</v>
      </c>
      <c r="I114" s="26">
        <f t="shared" si="26"/>
        <v>53810</v>
      </c>
      <c r="J114" s="26">
        <f t="shared" si="27"/>
        <v>1034.8076923076924</v>
      </c>
      <c r="K114" s="26">
        <f t="shared" si="28"/>
        <v>1034.8076923076924</v>
      </c>
      <c r="L114" s="26">
        <f t="shared" si="29"/>
        <v>0</v>
      </c>
      <c r="M114" s="26">
        <f t="shared" si="30"/>
        <v>39.654910714285734</v>
      </c>
      <c r="N114" s="27">
        <f t="shared" si="31"/>
        <v>123.94999999999999</v>
      </c>
      <c r="O114" s="27">
        <f t="shared" si="32"/>
        <v>203.85000000000002</v>
      </c>
      <c r="P114" s="26">
        <f t="shared" si="33"/>
        <v>1402.2626030219781</v>
      </c>
      <c r="Q114" s="26">
        <f t="shared" si="34"/>
        <v>72917.655357142852</v>
      </c>
      <c r="R114" s="16">
        <f t="shared" si="79"/>
        <v>0.82000000000000006</v>
      </c>
      <c r="S114" s="26">
        <f t="shared" si="36"/>
        <v>87427.655357142852</v>
      </c>
      <c r="T114" s="27">
        <f t="shared" si="37"/>
        <v>426</v>
      </c>
      <c r="U114" s="26">
        <f t="shared" si="60"/>
        <v>976.26260302197807</v>
      </c>
      <c r="V114" s="16">
        <f t="shared" si="58"/>
        <v>0.94</v>
      </c>
      <c r="W114" s="28">
        <f t="shared" si="61"/>
        <v>511.65</v>
      </c>
      <c r="X114" s="29">
        <f t="shared" si="38"/>
        <v>27</v>
      </c>
      <c r="Y114" s="29">
        <f t="shared" si="39"/>
        <v>735</v>
      </c>
      <c r="Z114" s="29">
        <f t="shared" si="40"/>
        <v>511.65</v>
      </c>
      <c r="AA114" s="28">
        <f t="shared" si="41"/>
        <v>0</v>
      </c>
      <c r="AB114" s="28">
        <f t="shared" si="42"/>
        <v>127.91249999999999</v>
      </c>
      <c r="AC114" s="28">
        <f t="shared" si="62"/>
        <v>172.08750000000001</v>
      </c>
      <c r="AD114" s="28">
        <f t="shared" si="43"/>
        <v>129.06562500000001</v>
      </c>
      <c r="AE114" s="13">
        <f t="shared" si="63"/>
        <v>129.06562500000001</v>
      </c>
      <c r="AF114" s="13">
        <f t="shared" si="64"/>
        <v>357.64285714285711</v>
      </c>
      <c r="AG114" s="13">
        <f t="shared" si="44"/>
        <v>39.654910714285734</v>
      </c>
      <c r="AH114" s="28">
        <f t="shared" si="65"/>
        <v>231.81</v>
      </c>
      <c r="AI114" s="13">
        <f t="shared" si="66"/>
        <v>668</v>
      </c>
      <c r="AJ114" s="28">
        <f t="shared" si="67"/>
        <v>180.36</v>
      </c>
      <c r="AK114" s="13">
        <f t="shared" si="45"/>
        <v>51.449999999999989</v>
      </c>
      <c r="AL114" s="47">
        <f t="shared" si="46"/>
        <v>52</v>
      </c>
      <c r="AM114" s="13" t="str">
        <f t="shared" si="47"/>
        <v>N</v>
      </c>
      <c r="AN114" s="13">
        <f t="shared" si="48"/>
        <v>0</v>
      </c>
      <c r="AO114" s="13" t="str">
        <f t="shared" si="49"/>
        <v>Y</v>
      </c>
      <c r="AP114" s="13">
        <f t="shared" si="50"/>
        <v>72.5</v>
      </c>
      <c r="AQ114" s="13">
        <f t="shared" si="51"/>
        <v>0</v>
      </c>
      <c r="AR114" s="13">
        <f t="shared" si="52"/>
        <v>72.5</v>
      </c>
      <c r="AS114" s="9">
        <f t="shared" si="68"/>
        <v>2</v>
      </c>
      <c r="AT114" s="9">
        <f t="shared" si="69"/>
        <v>50</v>
      </c>
      <c r="AU114" s="9">
        <f t="shared" si="70"/>
        <v>0</v>
      </c>
      <c r="AV114" s="13">
        <f t="shared" si="71"/>
        <v>4.53</v>
      </c>
      <c r="AW114" s="13">
        <f t="shared" si="72"/>
        <v>0</v>
      </c>
      <c r="AX114" s="9">
        <f t="shared" si="73"/>
        <v>1</v>
      </c>
      <c r="AY114" s="9">
        <f t="shared" si="74"/>
        <v>25</v>
      </c>
      <c r="AZ114" s="28">
        <f t="shared" si="53"/>
        <v>113.25</v>
      </c>
      <c r="BA114" s="9">
        <f t="shared" si="75"/>
        <v>1</v>
      </c>
      <c r="BB114" s="9">
        <f t="shared" si="76"/>
        <v>20</v>
      </c>
      <c r="BC114" s="28">
        <f t="shared" si="54"/>
        <v>90.600000000000009</v>
      </c>
      <c r="BD114" s="28">
        <f t="shared" si="55"/>
        <v>203.85000000000002</v>
      </c>
      <c r="BE114" s="13">
        <f t="shared" si="77"/>
        <v>156</v>
      </c>
      <c r="BF114" s="13">
        <f t="shared" si="78"/>
        <v>270</v>
      </c>
      <c r="BG114" s="28">
        <f t="shared" si="56"/>
        <v>426</v>
      </c>
    </row>
    <row r="115" spans="1:59" x14ac:dyDescent="0.2">
      <c r="A115" s="8">
        <f t="shared" si="57"/>
        <v>53</v>
      </c>
      <c r="B115" s="26">
        <f t="shared" si="59"/>
        <v>1325</v>
      </c>
      <c r="C115" s="26">
        <f t="shared" si="20"/>
        <v>0</v>
      </c>
      <c r="D115" s="26">
        <f t="shared" si="21"/>
        <v>1325</v>
      </c>
      <c r="E115" s="27">
        <f t="shared" si="22"/>
        <v>0</v>
      </c>
      <c r="F115" s="26">
        <f t="shared" si="23"/>
        <v>1325</v>
      </c>
      <c r="G115" s="26">
        <f t="shared" si="24"/>
        <v>68900</v>
      </c>
      <c r="H115" s="26">
        <f t="shared" si="25"/>
        <v>14180</v>
      </c>
      <c r="I115" s="26">
        <f t="shared" si="26"/>
        <v>54720</v>
      </c>
      <c r="J115" s="26">
        <f t="shared" si="27"/>
        <v>1052.3076923076924</v>
      </c>
      <c r="K115" s="26">
        <f t="shared" si="28"/>
        <v>1052.3076923076924</v>
      </c>
      <c r="L115" s="26">
        <f t="shared" si="29"/>
        <v>0</v>
      </c>
      <c r="M115" s="26">
        <f t="shared" si="30"/>
        <v>33.404910714285734</v>
      </c>
      <c r="N115" s="27">
        <f t="shared" si="31"/>
        <v>117.19999999999999</v>
      </c>
      <c r="O115" s="27">
        <f t="shared" si="32"/>
        <v>203.85000000000002</v>
      </c>
      <c r="P115" s="26">
        <f t="shared" si="33"/>
        <v>1406.7626030219781</v>
      </c>
      <c r="Q115" s="26">
        <f t="shared" si="34"/>
        <v>73151.655357142852</v>
      </c>
      <c r="R115" s="16">
        <f t="shared" si="79"/>
        <v>0.82000000000000006</v>
      </c>
      <c r="S115" s="26">
        <f t="shared" si="36"/>
        <v>87661.655357142852</v>
      </c>
      <c r="T115" s="27">
        <f t="shared" si="37"/>
        <v>429</v>
      </c>
      <c r="U115" s="26">
        <f t="shared" si="60"/>
        <v>977.76260302197807</v>
      </c>
      <c r="V115" s="16">
        <f t="shared" si="58"/>
        <v>0.94</v>
      </c>
      <c r="W115" s="28">
        <f t="shared" si="61"/>
        <v>511.65</v>
      </c>
      <c r="X115" s="29">
        <f t="shared" si="38"/>
        <v>27</v>
      </c>
      <c r="Y115" s="29">
        <f t="shared" si="39"/>
        <v>752.5</v>
      </c>
      <c r="Z115" s="29">
        <f t="shared" si="40"/>
        <v>511.65</v>
      </c>
      <c r="AA115" s="28">
        <f t="shared" si="41"/>
        <v>0</v>
      </c>
      <c r="AB115" s="28">
        <f t="shared" si="42"/>
        <v>127.91249999999999</v>
      </c>
      <c r="AC115" s="28">
        <f t="shared" si="62"/>
        <v>172.08750000000001</v>
      </c>
      <c r="AD115" s="28">
        <f t="shared" si="43"/>
        <v>129.06562500000001</v>
      </c>
      <c r="AE115" s="13">
        <f t="shared" si="63"/>
        <v>129.06562500000001</v>
      </c>
      <c r="AF115" s="13">
        <f t="shared" si="64"/>
        <v>382.64285714285711</v>
      </c>
      <c r="AG115" s="13">
        <f t="shared" si="44"/>
        <v>33.404910714285734</v>
      </c>
      <c r="AH115" s="28">
        <f t="shared" si="65"/>
        <v>231.81</v>
      </c>
      <c r="AI115" s="13">
        <f t="shared" si="66"/>
        <v>693</v>
      </c>
      <c r="AJ115" s="28">
        <f t="shared" si="67"/>
        <v>187.11</v>
      </c>
      <c r="AK115" s="13">
        <f t="shared" si="45"/>
        <v>44.699999999999989</v>
      </c>
      <c r="AL115" s="47">
        <f t="shared" si="46"/>
        <v>53</v>
      </c>
      <c r="AM115" s="13" t="str">
        <f t="shared" si="47"/>
        <v>N</v>
      </c>
      <c r="AN115" s="13">
        <f t="shared" si="48"/>
        <v>0</v>
      </c>
      <c r="AO115" s="13" t="str">
        <f t="shared" si="49"/>
        <v>Y</v>
      </c>
      <c r="AP115" s="13">
        <f t="shared" si="50"/>
        <v>72.5</v>
      </c>
      <c r="AQ115" s="13">
        <f t="shared" si="51"/>
        <v>0</v>
      </c>
      <c r="AR115" s="13">
        <f t="shared" si="52"/>
        <v>72.5</v>
      </c>
      <c r="AS115" s="9">
        <f t="shared" si="68"/>
        <v>2</v>
      </c>
      <c r="AT115" s="9">
        <f t="shared" si="69"/>
        <v>50</v>
      </c>
      <c r="AU115" s="9">
        <f t="shared" si="70"/>
        <v>0</v>
      </c>
      <c r="AV115" s="13">
        <f t="shared" si="71"/>
        <v>4.53</v>
      </c>
      <c r="AW115" s="13">
        <f t="shared" si="72"/>
        <v>0</v>
      </c>
      <c r="AX115" s="9">
        <f t="shared" si="73"/>
        <v>1</v>
      </c>
      <c r="AY115" s="9">
        <f t="shared" si="74"/>
        <v>25</v>
      </c>
      <c r="AZ115" s="28">
        <f t="shared" si="53"/>
        <v>113.25</v>
      </c>
      <c r="BA115" s="9">
        <f t="shared" si="75"/>
        <v>1</v>
      </c>
      <c r="BB115" s="9">
        <f t="shared" si="76"/>
        <v>20</v>
      </c>
      <c r="BC115" s="28">
        <f t="shared" si="54"/>
        <v>90.600000000000009</v>
      </c>
      <c r="BD115" s="28">
        <f t="shared" si="55"/>
        <v>203.85000000000002</v>
      </c>
      <c r="BE115" s="13">
        <f t="shared" si="77"/>
        <v>159</v>
      </c>
      <c r="BF115" s="13">
        <f t="shared" si="78"/>
        <v>270</v>
      </c>
      <c r="BG115" s="28">
        <f t="shared" si="56"/>
        <v>429</v>
      </c>
    </row>
    <row r="116" spans="1:59" x14ac:dyDescent="0.2">
      <c r="A116" s="8">
        <f t="shared" si="57"/>
        <v>54</v>
      </c>
      <c r="B116" s="26">
        <f t="shared" si="59"/>
        <v>1350</v>
      </c>
      <c r="C116" s="26">
        <f t="shared" si="20"/>
        <v>0</v>
      </c>
      <c r="D116" s="26">
        <f t="shared" si="21"/>
        <v>1350</v>
      </c>
      <c r="E116" s="27">
        <f t="shared" si="22"/>
        <v>0</v>
      </c>
      <c r="F116" s="26">
        <f t="shared" si="23"/>
        <v>1350</v>
      </c>
      <c r="G116" s="26">
        <f t="shared" si="24"/>
        <v>70200</v>
      </c>
      <c r="H116" s="26">
        <f t="shared" si="25"/>
        <v>14576</v>
      </c>
      <c r="I116" s="26">
        <f t="shared" si="26"/>
        <v>55624</v>
      </c>
      <c r="J116" s="26">
        <f t="shared" si="27"/>
        <v>1069.6923076923076</v>
      </c>
      <c r="K116" s="26">
        <f t="shared" si="28"/>
        <v>1069.6923076923076</v>
      </c>
      <c r="L116" s="26">
        <f t="shared" si="29"/>
        <v>0</v>
      </c>
      <c r="M116" s="26">
        <f t="shared" si="30"/>
        <v>27.154910714285734</v>
      </c>
      <c r="N116" s="27">
        <f t="shared" si="31"/>
        <v>110.44999999999999</v>
      </c>
      <c r="O116" s="27">
        <f t="shared" si="32"/>
        <v>203.85000000000002</v>
      </c>
      <c r="P116" s="26">
        <f t="shared" si="33"/>
        <v>1411.1472184065933</v>
      </c>
      <c r="Q116" s="26">
        <f t="shared" si="34"/>
        <v>73379.655357142852</v>
      </c>
      <c r="R116" s="16">
        <f t="shared" si="79"/>
        <v>0.82461538461539019</v>
      </c>
      <c r="S116" s="26">
        <f t="shared" si="36"/>
        <v>87889.655357142852</v>
      </c>
      <c r="T116" s="27">
        <f t="shared" si="37"/>
        <v>432</v>
      </c>
      <c r="U116" s="26">
        <f t="shared" si="60"/>
        <v>979.14721840659331</v>
      </c>
      <c r="V116" s="16">
        <f t="shared" si="58"/>
        <v>0.94461538461539019</v>
      </c>
      <c r="W116" s="28">
        <f t="shared" si="61"/>
        <v>511.65</v>
      </c>
      <c r="X116" s="29">
        <f t="shared" si="38"/>
        <v>27</v>
      </c>
      <c r="Y116" s="29">
        <f t="shared" si="39"/>
        <v>770</v>
      </c>
      <c r="Z116" s="29">
        <f t="shared" si="40"/>
        <v>511.65</v>
      </c>
      <c r="AA116" s="28">
        <f t="shared" si="41"/>
        <v>0</v>
      </c>
      <c r="AB116" s="28">
        <f t="shared" si="42"/>
        <v>127.91249999999999</v>
      </c>
      <c r="AC116" s="28">
        <f t="shared" si="62"/>
        <v>172.08750000000001</v>
      </c>
      <c r="AD116" s="28">
        <f t="shared" si="43"/>
        <v>129.06562500000001</v>
      </c>
      <c r="AE116" s="13">
        <f t="shared" si="63"/>
        <v>129.06562500000001</v>
      </c>
      <c r="AF116" s="13">
        <f t="shared" si="64"/>
        <v>407.64285714285711</v>
      </c>
      <c r="AG116" s="13">
        <f t="shared" si="44"/>
        <v>27.154910714285734</v>
      </c>
      <c r="AH116" s="28">
        <f t="shared" si="65"/>
        <v>231.81</v>
      </c>
      <c r="AI116" s="13">
        <f t="shared" si="66"/>
        <v>718</v>
      </c>
      <c r="AJ116" s="28">
        <f t="shared" si="67"/>
        <v>193.86</v>
      </c>
      <c r="AK116" s="13">
        <f t="shared" si="45"/>
        <v>37.949999999999989</v>
      </c>
      <c r="AL116" s="47">
        <f t="shared" si="46"/>
        <v>54</v>
      </c>
      <c r="AM116" s="13" t="str">
        <f t="shared" si="47"/>
        <v>N</v>
      </c>
      <c r="AN116" s="13">
        <f t="shared" si="48"/>
        <v>0</v>
      </c>
      <c r="AO116" s="13" t="str">
        <f t="shared" si="49"/>
        <v>Y</v>
      </c>
      <c r="AP116" s="13">
        <f t="shared" si="50"/>
        <v>72.5</v>
      </c>
      <c r="AQ116" s="13">
        <f t="shared" si="51"/>
        <v>0</v>
      </c>
      <c r="AR116" s="13">
        <f t="shared" si="52"/>
        <v>72.5</v>
      </c>
      <c r="AS116" s="9">
        <f t="shared" si="68"/>
        <v>2</v>
      </c>
      <c r="AT116" s="9">
        <f t="shared" si="69"/>
        <v>50</v>
      </c>
      <c r="AU116" s="9">
        <f t="shared" si="70"/>
        <v>0</v>
      </c>
      <c r="AV116" s="13">
        <f t="shared" si="71"/>
        <v>4.53</v>
      </c>
      <c r="AW116" s="13">
        <f t="shared" si="72"/>
        <v>0</v>
      </c>
      <c r="AX116" s="9">
        <f t="shared" si="73"/>
        <v>1</v>
      </c>
      <c r="AY116" s="9">
        <f t="shared" si="74"/>
        <v>25</v>
      </c>
      <c r="AZ116" s="28">
        <f t="shared" si="53"/>
        <v>113.25</v>
      </c>
      <c r="BA116" s="9">
        <f t="shared" si="75"/>
        <v>1</v>
      </c>
      <c r="BB116" s="9">
        <f t="shared" si="76"/>
        <v>20</v>
      </c>
      <c r="BC116" s="28">
        <f t="shared" si="54"/>
        <v>90.600000000000009</v>
      </c>
      <c r="BD116" s="28">
        <f t="shared" si="55"/>
        <v>203.85000000000002</v>
      </c>
      <c r="BE116" s="13">
        <f t="shared" si="77"/>
        <v>162</v>
      </c>
      <c r="BF116" s="13">
        <f t="shared" si="78"/>
        <v>270</v>
      </c>
      <c r="BG116" s="28">
        <f t="shared" si="56"/>
        <v>432</v>
      </c>
    </row>
    <row r="117" spans="1:59" x14ac:dyDescent="0.2">
      <c r="A117" s="8">
        <f t="shared" si="57"/>
        <v>55</v>
      </c>
      <c r="B117" s="26">
        <f t="shared" si="59"/>
        <v>1375</v>
      </c>
      <c r="C117" s="26">
        <f t="shared" si="20"/>
        <v>0</v>
      </c>
      <c r="D117" s="26">
        <f t="shared" si="21"/>
        <v>1375</v>
      </c>
      <c r="E117" s="27">
        <f t="shared" si="22"/>
        <v>0</v>
      </c>
      <c r="F117" s="26">
        <f t="shared" si="23"/>
        <v>1375</v>
      </c>
      <c r="G117" s="26">
        <f t="shared" si="24"/>
        <v>71500</v>
      </c>
      <c r="H117" s="26">
        <f t="shared" si="25"/>
        <v>15005</v>
      </c>
      <c r="I117" s="26">
        <f t="shared" si="26"/>
        <v>56495</v>
      </c>
      <c r="J117" s="26">
        <f t="shared" si="27"/>
        <v>1086.4423076923076</v>
      </c>
      <c r="K117" s="26">
        <f t="shared" si="28"/>
        <v>1086.4423076923076</v>
      </c>
      <c r="L117" s="26">
        <f t="shared" si="29"/>
        <v>0</v>
      </c>
      <c r="M117" s="26">
        <f t="shared" si="30"/>
        <v>20.904910714285734</v>
      </c>
      <c r="N117" s="27">
        <f t="shared" si="31"/>
        <v>103.69999999999999</v>
      </c>
      <c r="O117" s="27">
        <f t="shared" si="32"/>
        <v>203.85000000000002</v>
      </c>
      <c r="P117" s="26">
        <f t="shared" si="33"/>
        <v>1414.8972184065933</v>
      </c>
      <c r="Q117" s="26">
        <f t="shared" si="34"/>
        <v>73574.655357142852</v>
      </c>
      <c r="R117" s="16">
        <f t="shared" si="79"/>
        <v>0.85</v>
      </c>
      <c r="S117" s="26">
        <f t="shared" si="36"/>
        <v>88084.655357142852</v>
      </c>
      <c r="T117" s="27">
        <f t="shared" si="37"/>
        <v>435</v>
      </c>
      <c r="U117" s="26">
        <f t="shared" si="60"/>
        <v>979.89721840659331</v>
      </c>
      <c r="V117" s="16">
        <f t="shared" si="58"/>
        <v>0.97</v>
      </c>
      <c r="W117" s="28">
        <f t="shared" si="61"/>
        <v>511.65</v>
      </c>
      <c r="X117" s="29">
        <f t="shared" si="38"/>
        <v>27</v>
      </c>
      <c r="Y117" s="29">
        <f t="shared" si="39"/>
        <v>787.5</v>
      </c>
      <c r="Z117" s="29">
        <f t="shared" si="40"/>
        <v>511.65</v>
      </c>
      <c r="AA117" s="28">
        <f t="shared" si="41"/>
        <v>0</v>
      </c>
      <c r="AB117" s="28">
        <f t="shared" si="42"/>
        <v>127.91249999999999</v>
      </c>
      <c r="AC117" s="28">
        <f t="shared" si="62"/>
        <v>172.08750000000001</v>
      </c>
      <c r="AD117" s="28">
        <f t="shared" si="43"/>
        <v>129.06562500000001</v>
      </c>
      <c r="AE117" s="13">
        <f t="shared" si="63"/>
        <v>129.06562500000001</v>
      </c>
      <c r="AF117" s="13">
        <f t="shared" si="64"/>
        <v>432.64285714285711</v>
      </c>
      <c r="AG117" s="13">
        <f t="shared" si="44"/>
        <v>20.904910714285734</v>
      </c>
      <c r="AH117" s="28">
        <f t="shared" si="65"/>
        <v>231.81</v>
      </c>
      <c r="AI117" s="13">
        <f t="shared" si="66"/>
        <v>743</v>
      </c>
      <c r="AJ117" s="28">
        <f t="shared" si="67"/>
        <v>200.61</v>
      </c>
      <c r="AK117" s="13">
        <f t="shared" si="45"/>
        <v>31.199999999999989</v>
      </c>
      <c r="AL117" s="47">
        <f t="shared" si="46"/>
        <v>55</v>
      </c>
      <c r="AM117" s="13" t="str">
        <f t="shared" si="47"/>
        <v>N</v>
      </c>
      <c r="AN117" s="13">
        <f t="shared" si="48"/>
        <v>0</v>
      </c>
      <c r="AO117" s="13" t="str">
        <f t="shared" si="49"/>
        <v>Y</v>
      </c>
      <c r="AP117" s="13">
        <f t="shared" si="50"/>
        <v>72.5</v>
      </c>
      <c r="AQ117" s="13">
        <f t="shared" si="51"/>
        <v>0</v>
      </c>
      <c r="AR117" s="13">
        <f t="shared" si="52"/>
        <v>72.5</v>
      </c>
      <c r="AS117" s="9">
        <f t="shared" si="68"/>
        <v>2</v>
      </c>
      <c r="AT117" s="9">
        <f t="shared" si="69"/>
        <v>50</v>
      </c>
      <c r="AU117" s="9">
        <f t="shared" si="70"/>
        <v>0</v>
      </c>
      <c r="AV117" s="13">
        <f t="shared" si="71"/>
        <v>4.53</v>
      </c>
      <c r="AW117" s="13">
        <f t="shared" si="72"/>
        <v>0</v>
      </c>
      <c r="AX117" s="9">
        <f t="shared" si="73"/>
        <v>1</v>
      </c>
      <c r="AY117" s="9">
        <f t="shared" si="74"/>
        <v>25</v>
      </c>
      <c r="AZ117" s="28">
        <f t="shared" si="53"/>
        <v>113.25</v>
      </c>
      <c r="BA117" s="9">
        <f t="shared" si="75"/>
        <v>1</v>
      </c>
      <c r="BB117" s="9">
        <f t="shared" si="76"/>
        <v>20</v>
      </c>
      <c r="BC117" s="28">
        <f t="shared" si="54"/>
        <v>90.600000000000009</v>
      </c>
      <c r="BD117" s="28">
        <f t="shared" si="55"/>
        <v>203.85000000000002</v>
      </c>
      <c r="BE117" s="13">
        <f t="shared" si="77"/>
        <v>165</v>
      </c>
      <c r="BF117" s="13">
        <f t="shared" si="78"/>
        <v>270</v>
      </c>
      <c r="BG117" s="28">
        <f t="shared" si="56"/>
        <v>435</v>
      </c>
    </row>
    <row r="118" spans="1:59" x14ac:dyDescent="0.2">
      <c r="A118" s="8">
        <f t="shared" ref="A118:A122" si="80">A117+1</f>
        <v>56</v>
      </c>
      <c r="B118" s="26">
        <f t="shared" si="59"/>
        <v>1400</v>
      </c>
      <c r="C118" s="26">
        <f t="shared" si="20"/>
        <v>0</v>
      </c>
      <c r="D118" s="26">
        <f t="shared" si="21"/>
        <v>1400</v>
      </c>
      <c r="E118" s="27">
        <f t="shared" si="22"/>
        <v>0</v>
      </c>
      <c r="F118" s="26">
        <f t="shared" si="23"/>
        <v>1400</v>
      </c>
      <c r="G118" s="26">
        <f t="shared" si="24"/>
        <v>72800</v>
      </c>
      <c r="H118" s="26">
        <f t="shared" si="25"/>
        <v>15434</v>
      </c>
      <c r="I118" s="26">
        <f t="shared" si="26"/>
        <v>57366</v>
      </c>
      <c r="J118" s="26">
        <f t="shared" si="27"/>
        <v>1103.1923076923076</v>
      </c>
      <c r="K118" s="26">
        <f t="shared" si="28"/>
        <v>1103.1923076923076</v>
      </c>
      <c r="L118" s="26">
        <f t="shared" si="29"/>
        <v>0</v>
      </c>
      <c r="M118" s="26">
        <f t="shared" si="30"/>
        <v>14.654910714285734</v>
      </c>
      <c r="N118" s="27">
        <f t="shared" si="31"/>
        <v>96.949999999999989</v>
      </c>
      <c r="O118" s="27">
        <f t="shared" si="32"/>
        <v>203.85000000000002</v>
      </c>
      <c r="P118" s="26">
        <f t="shared" si="33"/>
        <v>1418.6472184065933</v>
      </c>
      <c r="Q118" s="26">
        <f t="shared" si="34"/>
        <v>73769.655357142852</v>
      </c>
      <c r="R118" s="16">
        <f t="shared" si="79"/>
        <v>0.85</v>
      </c>
      <c r="S118" s="26">
        <f t="shared" si="36"/>
        <v>88279.655357142852</v>
      </c>
      <c r="T118" s="27">
        <f t="shared" si="37"/>
        <v>438</v>
      </c>
      <c r="U118" s="26">
        <f t="shared" si="60"/>
        <v>980.64721840659331</v>
      </c>
      <c r="V118" s="16">
        <f t="shared" si="58"/>
        <v>0.97</v>
      </c>
      <c r="W118" s="28">
        <f t="shared" si="61"/>
        <v>511.65</v>
      </c>
      <c r="X118" s="29">
        <f t="shared" si="38"/>
        <v>27</v>
      </c>
      <c r="Y118" s="29">
        <f t="shared" si="39"/>
        <v>805</v>
      </c>
      <c r="Z118" s="29">
        <f t="shared" ref="Z118:Z122" si="81">IF((X118+Y118)&gt;W118,W118,X118+Y118)</f>
        <v>511.65</v>
      </c>
      <c r="AA118" s="28">
        <f t="shared" ref="AA118:AA122" si="82">W118-Z118</f>
        <v>0</v>
      </c>
      <c r="AB118" s="28">
        <f t="shared" ref="AB118:AB122" si="83">W118*0.25</f>
        <v>127.91249999999999</v>
      </c>
      <c r="AC118" s="28">
        <f t="shared" si="62"/>
        <v>172.08750000000001</v>
      </c>
      <c r="AD118" s="28">
        <f t="shared" si="43"/>
        <v>129.06562500000001</v>
      </c>
      <c r="AE118" s="13">
        <f t="shared" si="63"/>
        <v>129.06562500000001</v>
      </c>
      <c r="AF118" s="13">
        <f t="shared" si="64"/>
        <v>457.64285714285711</v>
      </c>
      <c r="AG118" s="13">
        <f t="shared" si="44"/>
        <v>14.654910714285734</v>
      </c>
      <c r="AH118" s="28">
        <f t="shared" si="65"/>
        <v>231.81</v>
      </c>
      <c r="AI118" s="13">
        <f t="shared" si="66"/>
        <v>768</v>
      </c>
      <c r="AJ118" s="28">
        <f t="shared" si="67"/>
        <v>207.36</v>
      </c>
      <c r="AK118" s="13">
        <f t="shared" si="45"/>
        <v>24.449999999999989</v>
      </c>
      <c r="AL118" s="47">
        <f t="shared" si="46"/>
        <v>56</v>
      </c>
      <c r="AM118" s="13" t="str">
        <f t="shared" si="47"/>
        <v>N</v>
      </c>
      <c r="AN118" s="13">
        <f t="shared" si="48"/>
        <v>0</v>
      </c>
      <c r="AO118" s="13" t="str">
        <f t="shared" si="49"/>
        <v>Y</v>
      </c>
      <c r="AP118" s="13">
        <f t="shared" si="50"/>
        <v>72.5</v>
      </c>
      <c r="AQ118" s="13">
        <f t="shared" si="51"/>
        <v>0</v>
      </c>
      <c r="AR118" s="13">
        <f t="shared" si="52"/>
        <v>72.5</v>
      </c>
      <c r="AS118" s="9">
        <f t="shared" si="68"/>
        <v>2</v>
      </c>
      <c r="AT118" s="9">
        <f t="shared" si="69"/>
        <v>50</v>
      </c>
      <c r="AU118" s="9">
        <f t="shared" si="70"/>
        <v>0</v>
      </c>
      <c r="AV118" s="13">
        <f t="shared" si="71"/>
        <v>4.53</v>
      </c>
      <c r="AW118" s="13">
        <f t="shared" si="72"/>
        <v>0</v>
      </c>
      <c r="AX118" s="9">
        <f t="shared" si="73"/>
        <v>1</v>
      </c>
      <c r="AY118" s="9">
        <f t="shared" si="74"/>
        <v>25</v>
      </c>
      <c r="AZ118" s="28">
        <f t="shared" si="53"/>
        <v>113.25</v>
      </c>
      <c r="BA118" s="9">
        <f t="shared" si="75"/>
        <v>1</v>
      </c>
      <c r="BB118" s="9">
        <f t="shared" si="76"/>
        <v>20</v>
      </c>
      <c r="BC118" s="28">
        <f t="shared" si="54"/>
        <v>90.600000000000009</v>
      </c>
      <c r="BD118" s="28">
        <f t="shared" si="55"/>
        <v>203.85000000000002</v>
      </c>
      <c r="BE118" s="13">
        <f t="shared" si="77"/>
        <v>168</v>
      </c>
      <c r="BF118" s="13">
        <f t="shared" si="78"/>
        <v>270</v>
      </c>
      <c r="BG118" s="28">
        <f t="shared" si="56"/>
        <v>438</v>
      </c>
    </row>
    <row r="119" spans="1:59" x14ac:dyDescent="0.2">
      <c r="A119" s="8">
        <f t="shared" si="80"/>
        <v>57</v>
      </c>
      <c r="B119" s="26">
        <f t="shared" si="59"/>
        <v>1425</v>
      </c>
      <c r="C119" s="26">
        <f t="shared" si="20"/>
        <v>0</v>
      </c>
      <c r="D119" s="26">
        <f t="shared" si="21"/>
        <v>1425</v>
      </c>
      <c r="E119" s="27">
        <f t="shared" si="22"/>
        <v>0</v>
      </c>
      <c r="F119" s="26">
        <f t="shared" si="23"/>
        <v>1425</v>
      </c>
      <c r="G119" s="26">
        <f t="shared" si="24"/>
        <v>74100</v>
      </c>
      <c r="H119" s="26">
        <f t="shared" si="25"/>
        <v>15863</v>
      </c>
      <c r="I119" s="26">
        <f t="shared" si="26"/>
        <v>58237</v>
      </c>
      <c r="J119" s="26">
        <f t="shared" si="27"/>
        <v>1119.9423076923076</v>
      </c>
      <c r="K119" s="26">
        <f t="shared" si="28"/>
        <v>1119.9423076923076</v>
      </c>
      <c r="L119" s="26">
        <f t="shared" si="29"/>
        <v>0</v>
      </c>
      <c r="M119" s="26">
        <f t="shared" si="30"/>
        <v>8.4049107142857338</v>
      </c>
      <c r="N119" s="27">
        <f t="shared" si="31"/>
        <v>90.199999999999989</v>
      </c>
      <c r="O119" s="27">
        <f t="shared" si="32"/>
        <v>203.85000000000002</v>
      </c>
      <c r="P119" s="26">
        <f t="shared" si="33"/>
        <v>1422.3972184065933</v>
      </c>
      <c r="Q119" s="26">
        <f t="shared" si="34"/>
        <v>73964.655357142852</v>
      </c>
      <c r="R119" s="16">
        <f t="shared" si="79"/>
        <v>0.85</v>
      </c>
      <c r="S119" s="26">
        <f t="shared" si="36"/>
        <v>88474.655357142852</v>
      </c>
      <c r="T119" s="27">
        <f t="shared" si="37"/>
        <v>441</v>
      </c>
      <c r="U119" s="26">
        <f t="shared" si="60"/>
        <v>981.39721840659331</v>
      </c>
      <c r="V119" s="16">
        <f t="shared" si="58"/>
        <v>0.97</v>
      </c>
      <c r="W119" s="28">
        <f t="shared" si="61"/>
        <v>511.65</v>
      </c>
      <c r="X119" s="29">
        <f t="shared" si="38"/>
        <v>27</v>
      </c>
      <c r="Y119" s="29">
        <f t="shared" si="39"/>
        <v>822.5</v>
      </c>
      <c r="Z119" s="29">
        <f t="shared" si="81"/>
        <v>511.65</v>
      </c>
      <c r="AA119" s="28">
        <f t="shared" si="82"/>
        <v>0</v>
      </c>
      <c r="AB119" s="28">
        <f t="shared" si="83"/>
        <v>127.91249999999999</v>
      </c>
      <c r="AC119" s="28">
        <f t="shared" si="62"/>
        <v>172.08750000000001</v>
      </c>
      <c r="AD119" s="28">
        <f t="shared" si="43"/>
        <v>129.06562500000001</v>
      </c>
      <c r="AE119" s="13">
        <f t="shared" si="63"/>
        <v>129.06562500000001</v>
      </c>
      <c r="AF119" s="13">
        <f t="shared" si="64"/>
        <v>482.64285714285711</v>
      </c>
      <c r="AG119" s="13">
        <f t="shared" si="44"/>
        <v>8.4049107142857338</v>
      </c>
      <c r="AH119" s="28">
        <f t="shared" si="65"/>
        <v>231.81</v>
      </c>
      <c r="AI119" s="13">
        <f t="shared" si="66"/>
        <v>793</v>
      </c>
      <c r="AJ119" s="28">
        <f t="shared" si="67"/>
        <v>214.11</v>
      </c>
      <c r="AK119" s="13">
        <f t="shared" si="45"/>
        <v>17.699999999999989</v>
      </c>
      <c r="AL119" s="47">
        <f t="shared" si="46"/>
        <v>57</v>
      </c>
      <c r="AM119" s="13" t="str">
        <f t="shared" si="47"/>
        <v>N</v>
      </c>
      <c r="AN119" s="13">
        <f t="shared" si="48"/>
        <v>0</v>
      </c>
      <c r="AO119" s="13" t="str">
        <f t="shared" si="49"/>
        <v>Y</v>
      </c>
      <c r="AP119" s="13">
        <f t="shared" si="50"/>
        <v>72.5</v>
      </c>
      <c r="AQ119" s="13">
        <f t="shared" si="51"/>
        <v>0</v>
      </c>
      <c r="AR119" s="13">
        <f t="shared" si="52"/>
        <v>72.5</v>
      </c>
      <c r="AS119" s="9">
        <f t="shared" si="68"/>
        <v>2</v>
      </c>
      <c r="AT119" s="9">
        <f t="shared" si="69"/>
        <v>50</v>
      </c>
      <c r="AU119" s="9">
        <f t="shared" si="70"/>
        <v>0</v>
      </c>
      <c r="AV119" s="13">
        <f t="shared" si="71"/>
        <v>4.53</v>
      </c>
      <c r="AW119" s="13">
        <f t="shared" si="72"/>
        <v>0</v>
      </c>
      <c r="AX119" s="9">
        <f t="shared" si="73"/>
        <v>1</v>
      </c>
      <c r="AY119" s="9">
        <f t="shared" si="74"/>
        <v>25</v>
      </c>
      <c r="AZ119" s="28">
        <f t="shared" si="53"/>
        <v>113.25</v>
      </c>
      <c r="BA119" s="9">
        <f t="shared" si="75"/>
        <v>1</v>
      </c>
      <c r="BB119" s="9">
        <f t="shared" si="76"/>
        <v>20</v>
      </c>
      <c r="BC119" s="28">
        <f t="shared" si="54"/>
        <v>90.600000000000009</v>
      </c>
      <c r="BD119" s="28">
        <f t="shared" si="55"/>
        <v>203.85000000000002</v>
      </c>
      <c r="BE119" s="13">
        <f t="shared" si="77"/>
        <v>171</v>
      </c>
      <c r="BF119" s="13">
        <f t="shared" si="78"/>
        <v>270</v>
      </c>
      <c r="BG119" s="28">
        <f t="shared" si="56"/>
        <v>441</v>
      </c>
    </row>
    <row r="120" spans="1:59" x14ac:dyDescent="0.2">
      <c r="A120" s="8">
        <f t="shared" si="80"/>
        <v>58</v>
      </c>
      <c r="B120" s="26">
        <f t="shared" si="59"/>
        <v>1450</v>
      </c>
      <c r="C120" s="26">
        <f t="shared" si="20"/>
        <v>0</v>
      </c>
      <c r="D120" s="26">
        <f t="shared" si="21"/>
        <v>1450</v>
      </c>
      <c r="E120" s="27">
        <f t="shared" si="22"/>
        <v>0</v>
      </c>
      <c r="F120" s="26">
        <f t="shared" si="23"/>
        <v>1450</v>
      </c>
      <c r="G120" s="26">
        <f t="shared" si="24"/>
        <v>75400</v>
      </c>
      <c r="H120" s="26">
        <f t="shared" si="25"/>
        <v>16292</v>
      </c>
      <c r="I120" s="26">
        <f t="shared" si="26"/>
        <v>59108</v>
      </c>
      <c r="J120" s="26">
        <f t="shared" si="27"/>
        <v>1136.6923076923076</v>
      </c>
      <c r="K120" s="26">
        <f t="shared" si="28"/>
        <v>1136.6923076923076</v>
      </c>
      <c r="L120" s="26">
        <f t="shared" si="29"/>
        <v>0</v>
      </c>
      <c r="M120" s="26">
        <f t="shared" si="30"/>
        <v>2.1549107142857338</v>
      </c>
      <c r="N120" s="27">
        <f t="shared" si="31"/>
        <v>83.449999999999989</v>
      </c>
      <c r="O120" s="27">
        <f t="shared" si="32"/>
        <v>142.65</v>
      </c>
      <c r="P120" s="26">
        <f t="shared" si="33"/>
        <v>1364.9472184065935</v>
      </c>
      <c r="Q120" s="26">
        <f t="shared" si="34"/>
        <v>70977.255357142858</v>
      </c>
      <c r="R120" s="16">
        <f t="shared" si="79"/>
        <v>3.2979999999999929</v>
      </c>
      <c r="S120" s="26" t="str">
        <f t="shared" si="36"/>
        <v>NA</v>
      </c>
      <c r="T120" s="27">
        <f t="shared" si="37"/>
        <v>444</v>
      </c>
      <c r="U120" s="26">
        <f t="shared" si="60"/>
        <v>920.94721840659349</v>
      </c>
      <c r="V120" s="16">
        <f t="shared" si="58"/>
        <v>3.4179999999999926</v>
      </c>
      <c r="W120" s="28">
        <f t="shared" si="61"/>
        <v>511.65</v>
      </c>
      <c r="X120" s="29">
        <f t="shared" si="38"/>
        <v>27</v>
      </c>
      <c r="Y120" s="29">
        <f t="shared" si="39"/>
        <v>840</v>
      </c>
      <c r="Z120" s="29">
        <f t="shared" si="81"/>
        <v>511.65</v>
      </c>
      <c r="AA120" s="28">
        <f t="shared" si="82"/>
        <v>0</v>
      </c>
      <c r="AB120" s="28">
        <f t="shared" si="83"/>
        <v>127.91249999999999</v>
      </c>
      <c r="AC120" s="28">
        <f t="shared" si="62"/>
        <v>172.08750000000001</v>
      </c>
      <c r="AD120" s="28">
        <f t="shared" si="43"/>
        <v>129.06562500000001</v>
      </c>
      <c r="AE120" s="13">
        <f t="shared" si="63"/>
        <v>129.06562500000001</v>
      </c>
      <c r="AF120" s="13">
        <f t="shared" si="64"/>
        <v>507.64285714285711</v>
      </c>
      <c r="AG120" s="13">
        <f t="shared" si="44"/>
        <v>2.1549107142857338</v>
      </c>
      <c r="AH120" s="28">
        <f t="shared" si="65"/>
        <v>231.81</v>
      </c>
      <c r="AI120" s="13">
        <f t="shared" si="66"/>
        <v>818</v>
      </c>
      <c r="AJ120" s="28">
        <f t="shared" si="67"/>
        <v>220.86</v>
      </c>
      <c r="AK120" s="13">
        <f t="shared" si="45"/>
        <v>10.949999999999989</v>
      </c>
      <c r="AL120" s="47">
        <f t="shared" si="46"/>
        <v>58</v>
      </c>
      <c r="AM120" s="13" t="str">
        <f t="shared" si="47"/>
        <v>N</v>
      </c>
      <c r="AN120" s="13">
        <f t="shared" si="48"/>
        <v>0</v>
      </c>
      <c r="AO120" s="13" t="str">
        <f t="shared" si="49"/>
        <v>Y</v>
      </c>
      <c r="AP120" s="13">
        <f t="shared" si="50"/>
        <v>72.5</v>
      </c>
      <c r="AQ120" s="13">
        <f t="shared" si="51"/>
        <v>0</v>
      </c>
      <c r="AR120" s="13">
        <f t="shared" si="52"/>
        <v>72.5</v>
      </c>
      <c r="AS120" s="9">
        <f t="shared" si="68"/>
        <v>2</v>
      </c>
      <c r="AT120" s="9">
        <f t="shared" si="69"/>
        <v>50</v>
      </c>
      <c r="AU120" s="9">
        <f t="shared" si="70"/>
        <v>0</v>
      </c>
      <c r="AV120" s="13">
        <f t="shared" si="71"/>
        <v>3.17</v>
      </c>
      <c r="AW120" s="13">
        <f t="shared" si="72"/>
        <v>0</v>
      </c>
      <c r="AX120" s="9">
        <f t="shared" si="73"/>
        <v>1</v>
      </c>
      <c r="AY120" s="9">
        <f t="shared" si="74"/>
        <v>25</v>
      </c>
      <c r="AZ120" s="28">
        <f t="shared" si="53"/>
        <v>79.25</v>
      </c>
      <c r="BA120" s="9">
        <f t="shared" si="75"/>
        <v>1</v>
      </c>
      <c r="BB120" s="9">
        <f t="shared" si="76"/>
        <v>20</v>
      </c>
      <c r="BC120" s="28">
        <f t="shared" si="54"/>
        <v>63.4</v>
      </c>
      <c r="BD120" s="28">
        <f t="shared" si="55"/>
        <v>142.65</v>
      </c>
      <c r="BE120" s="13">
        <f t="shared" si="77"/>
        <v>174</v>
      </c>
      <c r="BF120" s="13">
        <f t="shared" si="78"/>
        <v>270</v>
      </c>
      <c r="BG120" s="28">
        <f t="shared" si="56"/>
        <v>444</v>
      </c>
    </row>
    <row r="121" spans="1:59" x14ac:dyDescent="0.2">
      <c r="A121" s="8">
        <f t="shared" si="80"/>
        <v>59</v>
      </c>
      <c r="B121" s="26">
        <f t="shared" si="59"/>
        <v>1475</v>
      </c>
      <c r="C121" s="26">
        <f t="shared" si="20"/>
        <v>0</v>
      </c>
      <c r="D121" s="26">
        <f t="shared" si="21"/>
        <v>1475</v>
      </c>
      <c r="E121" s="27">
        <f t="shared" si="22"/>
        <v>0</v>
      </c>
      <c r="F121" s="26">
        <f t="shared" si="23"/>
        <v>1475</v>
      </c>
      <c r="G121" s="26">
        <f t="shared" si="24"/>
        <v>76700</v>
      </c>
      <c r="H121" s="26">
        <f t="shared" si="25"/>
        <v>16721</v>
      </c>
      <c r="I121" s="26">
        <f t="shared" si="26"/>
        <v>59979</v>
      </c>
      <c r="J121" s="26">
        <f t="shared" si="27"/>
        <v>1153.4423076923076</v>
      </c>
      <c r="K121" s="26">
        <f t="shared" si="28"/>
        <v>1153.4423076923076</v>
      </c>
      <c r="L121" s="26">
        <f t="shared" si="29"/>
        <v>0</v>
      </c>
      <c r="M121" s="26">
        <f t="shared" si="30"/>
        <v>0</v>
      </c>
      <c r="N121" s="27">
        <f t="shared" si="31"/>
        <v>76.699999999999989</v>
      </c>
      <c r="O121" s="27">
        <f t="shared" si="32"/>
        <v>142.65</v>
      </c>
      <c r="P121" s="26">
        <f t="shared" si="33"/>
        <v>1372.7923076923078</v>
      </c>
      <c r="Q121" s="26">
        <f t="shared" si="34"/>
        <v>71385.2</v>
      </c>
      <c r="R121" s="16">
        <f t="shared" si="79"/>
        <v>0.68619642857142937</v>
      </c>
      <c r="S121" s="26" t="str">
        <f t="shared" si="36"/>
        <v>NA</v>
      </c>
      <c r="T121" s="27">
        <f t="shared" si="37"/>
        <v>447</v>
      </c>
      <c r="U121" s="26">
        <f t="shared" si="60"/>
        <v>925.79230769230776</v>
      </c>
      <c r="V121" s="16">
        <f t="shared" si="58"/>
        <v>0.80619642857142937</v>
      </c>
      <c r="W121" s="28">
        <f t="shared" si="61"/>
        <v>511.65</v>
      </c>
      <c r="X121" s="29">
        <f t="shared" si="38"/>
        <v>27</v>
      </c>
      <c r="Y121" s="29">
        <f t="shared" si="39"/>
        <v>857.5</v>
      </c>
      <c r="Z121" s="29">
        <f t="shared" si="81"/>
        <v>511.65</v>
      </c>
      <c r="AA121" s="28">
        <f t="shared" si="82"/>
        <v>0</v>
      </c>
      <c r="AB121" s="28">
        <f t="shared" si="83"/>
        <v>127.91249999999999</v>
      </c>
      <c r="AC121" s="28">
        <f t="shared" si="62"/>
        <v>172.08750000000001</v>
      </c>
      <c r="AD121" s="28">
        <f t="shared" si="43"/>
        <v>129.06562500000001</v>
      </c>
      <c r="AE121" s="13">
        <f t="shared" si="63"/>
        <v>129.06562500000001</v>
      </c>
      <c r="AF121" s="13">
        <f t="shared" si="64"/>
        <v>532.64285714285711</v>
      </c>
      <c r="AG121" s="13">
        <f t="shared" si="44"/>
        <v>0</v>
      </c>
      <c r="AH121" s="28">
        <f t="shared" si="65"/>
        <v>231.81</v>
      </c>
      <c r="AI121" s="13">
        <f t="shared" si="66"/>
        <v>843</v>
      </c>
      <c r="AJ121" s="28">
        <f t="shared" si="67"/>
        <v>227.61</v>
      </c>
      <c r="AK121" s="13">
        <f t="shared" si="45"/>
        <v>4.1999999999999886</v>
      </c>
      <c r="AL121" s="47">
        <f t="shared" si="46"/>
        <v>59</v>
      </c>
      <c r="AM121" s="13" t="str">
        <f t="shared" si="47"/>
        <v>N</v>
      </c>
      <c r="AN121" s="13">
        <f t="shared" si="48"/>
        <v>0</v>
      </c>
      <c r="AO121" s="13" t="str">
        <f t="shared" si="49"/>
        <v>Y</v>
      </c>
      <c r="AP121" s="13">
        <f t="shared" si="50"/>
        <v>72.5</v>
      </c>
      <c r="AQ121" s="13">
        <f t="shared" si="51"/>
        <v>0</v>
      </c>
      <c r="AR121" s="13">
        <f t="shared" si="52"/>
        <v>72.5</v>
      </c>
      <c r="AS121" s="9">
        <f t="shared" si="68"/>
        <v>2</v>
      </c>
      <c r="AT121" s="9">
        <f t="shared" si="69"/>
        <v>50</v>
      </c>
      <c r="AU121" s="9">
        <f t="shared" si="70"/>
        <v>0</v>
      </c>
      <c r="AV121" s="13">
        <f t="shared" si="71"/>
        <v>3.17</v>
      </c>
      <c r="AW121" s="13">
        <f t="shared" si="72"/>
        <v>0</v>
      </c>
      <c r="AX121" s="9">
        <f t="shared" si="73"/>
        <v>1</v>
      </c>
      <c r="AY121" s="9">
        <f t="shared" si="74"/>
        <v>25</v>
      </c>
      <c r="AZ121" s="28">
        <f t="shared" si="53"/>
        <v>79.25</v>
      </c>
      <c r="BA121" s="9">
        <f t="shared" si="75"/>
        <v>1</v>
      </c>
      <c r="BB121" s="9">
        <f t="shared" si="76"/>
        <v>20</v>
      </c>
      <c r="BC121" s="28">
        <f t="shared" si="54"/>
        <v>63.4</v>
      </c>
      <c r="BD121" s="28">
        <f t="shared" si="55"/>
        <v>142.65</v>
      </c>
      <c r="BE121" s="13">
        <f t="shared" si="77"/>
        <v>177</v>
      </c>
      <c r="BF121" s="13">
        <f t="shared" si="78"/>
        <v>270</v>
      </c>
      <c r="BG121" s="28">
        <f t="shared" si="56"/>
        <v>447</v>
      </c>
    </row>
    <row r="122" spans="1:59" x14ac:dyDescent="0.2">
      <c r="A122" s="8">
        <f t="shared" si="80"/>
        <v>60</v>
      </c>
      <c r="B122" s="26">
        <f t="shared" si="59"/>
        <v>1500</v>
      </c>
      <c r="C122" s="26">
        <f t="shared" si="20"/>
        <v>0</v>
      </c>
      <c r="D122" s="26">
        <f t="shared" si="21"/>
        <v>1500</v>
      </c>
      <c r="E122" s="27">
        <f t="shared" si="22"/>
        <v>0</v>
      </c>
      <c r="F122" s="26">
        <f t="shared" si="23"/>
        <v>1500</v>
      </c>
      <c r="G122" s="26">
        <f t="shared" si="24"/>
        <v>78000</v>
      </c>
      <c r="H122" s="26">
        <f t="shared" si="25"/>
        <v>17150</v>
      </c>
      <c r="I122" s="26">
        <f t="shared" si="26"/>
        <v>60850</v>
      </c>
      <c r="J122" s="26">
        <f t="shared" si="27"/>
        <v>1170.1923076923076</v>
      </c>
      <c r="K122" s="26">
        <f t="shared" si="28"/>
        <v>1170.1923076923076</v>
      </c>
      <c r="L122" s="26">
        <f t="shared" si="29"/>
        <v>0</v>
      </c>
      <c r="M122" s="26">
        <f t="shared" si="30"/>
        <v>0</v>
      </c>
      <c r="N122" s="27">
        <f t="shared" si="31"/>
        <v>69.950000000000031</v>
      </c>
      <c r="O122" s="27">
        <f t="shared" si="32"/>
        <v>142.65</v>
      </c>
      <c r="P122" s="26">
        <f t="shared" si="33"/>
        <v>1382.7923076923078</v>
      </c>
      <c r="Q122" s="26">
        <f t="shared" si="34"/>
        <v>71905.2</v>
      </c>
      <c r="R122" s="16">
        <f t="shared" si="79"/>
        <v>0.6</v>
      </c>
      <c r="S122" s="26">
        <f t="shared" si="36"/>
        <v>86415.2</v>
      </c>
      <c r="T122" s="27">
        <f t="shared" si="37"/>
        <v>450</v>
      </c>
      <c r="U122" s="26">
        <f t="shared" si="60"/>
        <v>932.79230769230776</v>
      </c>
      <c r="V122" s="16">
        <f t="shared" si="58"/>
        <v>0.72</v>
      </c>
      <c r="W122" s="28">
        <f t="shared" si="61"/>
        <v>511.65</v>
      </c>
      <c r="X122" s="29">
        <f t="shared" si="38"/>
        <v>27</v>
      </c>
      <c r="Y122" s="29">
        <f t="shared" si="39"/>
        <v>875</v>
      </c>
      <c r="Z122" s="29">
        <f t="shared" si="81"/>
        <v>511.65</v>
      </c>
      <c r="AA122" s="28">
        <f t="shared" si="82"/>
        <v>0</v>
      </c>
      <c r="AB122" s="28">
        <f t="shared" si="83"/>
        <v>127.91249999999999</v>
      </c>
      <c r="AC122" s="28">
        <f t="shared" si="62"/>
        <v>172.08750000000001</v>
      </c>
      <c r="AD122" s="28">
        <f t="shared" si="43"/>
        <v>129.06562500000001</v>
      </c>
      <c r="AE122" s="13">
        <f t="shared" si="63"/>
        <v>129.06562500000001</v>
      </c>
      <c r="AF122" s="13">
        <f t="shared" si="64"/>
        <v>557.64285714285711</v>
      </c>
      <c r="AG122" s="13">
        <f t="shared" si="44"/>
        <v>0</v>
      </c>
      <c r="AH122" s="28">
        <f t="shared" si="65"/>
        <v>231.81</v>
      </c>
      <c r="AI122" s="13">
        <f t="shared" si="66"/>
        <v>868</v>
      </c>
      <c r="AJ122" s="28">
        <f t="shared" si="67"/>
        <v>234.36</v>
      </c>
      <c r="AK122" s="13">
        <f t="shared" si="45"/>
        <v>0</v>
      </c>
      <c r="AL122" s="47">
        <f t="shared" si="46"/>
        <v>60</v>
      </c>
      <c r="AM122" s="13" t="str">
        <f t="shared" si="47"/>
        <v>N</v>
      </c>
      <c r="AN122" s="13">
        <f t="shared" si="48"/>
        <v>0</v>
      </c>
      <c r="AO122" s="13" t="str">
        <f t="shared" si="49"/>
        <v>Y</v>
      </c>
      <c r="AP122" s="13">
        <f t="shared" si="50"/>
        <v>72.5</v>
      </c>
      <c r="AQ122" s="13">
        <f t="shared" si="51"/>
        <v>2.5499999999999727</v>
      </c>
      <c r="AR122" s="13">
        <f t="shared" si="52"/>
        <v>69.950000000000031</v>
      </c>
      <c r="AS122" s="9">
        <f t="shared" si="68"/>
        <v>2</v>
      </c>
      <c r="AT122" s="9">
        <f t="shared" si="69"/>
        <v>50</v>
      </c>
      <c r="AU122" s="9">
        <f t="shared" si="70"/>
        <v>0</v>
      </c>
      <c r="AV122" s="13">
        <f t="shared" si="71"/>
        <v>3.17</v>
      </c>
      <c r="AW122" s="13">
        <f t="shared" si="72"/>
        <v>0</v>
      </c>
      <c r="AX122" s="9">
        <f t="shared" si="73"/>
        <v>1</v>
      </c>
      <c r="AY122" s="9">
        <f t="shared" si="74"/>
        <v>25</v>
      </c>
      <c r="AZ122" s="28">
        <f t="shared" si="53"/>
        <v>79.25</v>
      </c>
      <c r="BA122" s="9">
        <f t="shared" si="75"/>
        <v>1</v>
      </c>
      <c r="BB122" s="9">
        <f t="shared" si="76"/>
        <v>20</v>
      </c>
      <c r="BC122" s="28">
        <f t="shared" si="54"/>
        <v>63.4</v>
      </c>
      <c r="BD122" s="28">
        <f t="shared" si="55"/>
        <v>142.65</v>
      </c>
      <c r="BE122" s="13">
        <f t="shared" si="77"/>
        <v>180</v>
      </c>
      <c r="BF122" s="13">
        <f t="shared" si="78"/>
        <v>270</v>
      </c>
      <c r="BG122" s="28">
        <f t="shared" si="56"/>
        <v>450</v>
      </c>
    </row>
  </sheetData>
  <mergeCells count="8">
    <mergeCell ref="AS59:BD59"/>
    <mergeCell ref="A59:V59"/>
    <mergeCell ref="W59:AA59"/>
    <mergeCell ref="BE59:BG59"/>
    <mergeCell ref="AH59:AK59"/>
    <mergeCell ref="AB59:AG59"/>
    <mergeCell ref="AL59:AN59"/>
    <mergeCell ref="AO59:AR59"/>
  </mergeCells>
  <dataValidations count="3">
    <dataValidation type="list" allowBlank="1" showInputMessage="1" showErrorMessage="1" sqref="B2" xr:uid="{78C7E528-E632-284A-9870-115093D68392}">
      <formula1>"Single,Couple (both on benefit),Couple (1 not on benefit)"</formula1>
    </dataValidation>
    <dataValidation type="list" allowBlank="1" showInputMessage="1" showErrorMessage="1" sqref="B6" xr:uid="{8B32543B-409C-CD40-B75B-1ECFBCE5C566}">
      <formula1>"1,2,3,4"</formula1>
    </dataValidation>
    <dataValidation type="list" allowBlank="1" showInputMessage="1" showErrorMessage="1" sqref="B8" xr:uid="{B6D85682-1531-BA4B-82ED-21C8654F026F}">
      <formula1>"Living at home,Living away from home"</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B0548-641D-5141-A6E5-01446EC1175D}">
  <dimension ref="A1:BG122"/>
  <sheetViews>
    <sheetView zoomScale="106" workbookViewId="0">
      <pane xSplit="2" ySplit="11" topLeftCell="G19" activePane="bottomRight" state="frozen"/>
      <selection pane="topRight" activeCell="C1" sqref="C1"/>
      <selection pane="bottomLeft" activeCell="A11" sqref="A11"/>
      <selection pane="bottomRight" activeCell="B58" sqref="B58"/>
    </sheetView>
  </sheetViews>
  <sheetFormatPr baseColWidth="10" defaultRowHeight="16" outlineLevelRow="1" x14ac:dyDescent="0.2"/>
  <cols>
    <col min="1" max="1" width="45.33203125" customWidth="1"/>
    <col min="2" max="2" width="24.6640625" customWidth="1"/>
    <col min="3" max="3" width="14.1640625" customWidth="1"/>
    <col min="4" max="4" width="14.6640625" customWidth="1"/>
    <col min="5" max="5" width="12.83203125" customWidth="1"/>
    <col min="6" max="6" width="10.83203125" customWidth="1"/>
    <col min="7" max="7" width="13.6640625" customWidth="1"/>
    <col min="8" max="8" width="15" customWidth="1"/>
    <col min="9" max="11" width="15.83203125" customWidth="1"/>
    <col min="12" max="12" width="16" customWidth="1"/>
    <col min="13" max="16" width="11.5" customWidth="1"/>
    <col min="17" max="17" width="15.6640625" customWidth="1"/>
    <col min="18" max="18" width="12" customWidth="1"/>
    <col min="19" max="19" width="13" customWidth="1"/>
    <col min="26" max="26" width="12.1640625" customWidth="1"/>
    <col min="27" max="27" width="11.5" customWidth="1"/>
    <col min="28" max="28" width="13.5" customWidth="1"/>
    <col min="29" max="29" width="13.83203125" customWidth="1"/>
    <col min="30" max="30" width="14" customWidth="1"/>
  </cols>
  <sheetData>
    <row r="1" spans="1:16" ht="17" thickBot="1" x14ac:dyDescent="0.25">
      <c r="A1" s="18" t="s">
        <v>74</v>
      </c>
    </row>
    <row r="2" spans="1:16" ht="17" x14ac:dyDescent="0.2">
      <c r="A2" s="43" t="s">
        <v>75</v>
      </c>
      <c r="B2" s="39" t="s">
        <v>36</v>
      </c>
      <c r="C2" s="19" t="s">
        <v>223</v>
      </c>
      <c r="D2" s="6"/>
      <c r="E2" s="6"/>
      <c r="F2" s="6"/>
      <c r="G2" s="6"/>
      <c r="H2" s="6"/>
      <c r="I2" s="6"/>
      <c r="J2" s="6"/>
      <c r="K2" s="6"/>
    </row>
    <row r="3" spans="1:16" x14ac:dyDescent="0.2">
      <c r="A3" s="44" t="s">
        <v>214</v>
      </c>
      <c r="B3" s="40">
        <v>0</v>
      </c>
      <c r="C3" s="6"/>
      <c r="D3" s="6"/>
      <c r="E3" s="6"/>
      <c r="F3" s="6"/>
      <c r="G3" s="6"/>
      <c r="H3" s="6"/>
      <c r="I3" s="6"/>
      <c r="J3" s="6"/>
      <c r="K3" s="6"/>
    </row>
    <row r="4" spans="1:16" x14ac:dyDescent="0.2">
      <c r="A4" s="44" t="s">
        <v>215</v>
      </c>
      <c r="B4" s="40">
        <v>1</v>
      </c>
      <c r="C4" s="19" t="s">
        <v>222</v>
      </c>
      <c r="D4" s="5"/>
      <c r="E4" s="5"/>
      <c r="F4" s="5"/>
      <c r="G4" s="5"/>
      <c r="H4" s="5"/>
      <c r="I4" s="5"/>
      <c r="J4" s="5"/>
      <c r="K4" s="5"/>
      <c r="L4" s="17"/>
      <c r="M4" s="17"/>
      <c r="N4" s="17"/>
      <c r="O4" s="17"/>
      <c r="P4" s="17"/>
    </row>
    <row r="5" spans="1:16" x14ac:dyDescent="0.2">
      <c r="A5" s="44" t="s">
        <v>73</v>
      </c>
      <c r="B5" s="40">
        <v>1</v>
      </c>
      <c r="C5" s="5"/>
      <c r="D5" s="5"/>
      <c r="E5" s="5"/>
      <c r="F5" s="5"/>
      <c r="G5" s="5"/>
      <c r="H5" s="5"/>
      <c r="I5" s="5"/>
      <c r="J5" s="5"/>
      <c r="K5" s="5"/>
    </row>
    <row r="6" spans="1:16" x14ac:dyDescent="0.2">
      <c r="A6" s="44" t="s">
        <v>77</v>
      </c>
      <c r="B6" s="40">
        <v>1</v>
      </c>
      <c r="C6" s="19" t="s">
        <v>78</v>
      </c>
      <c r="D6" s="19"/>
      <c r="E6" s="19"/>
      <c r="F6" s="19"/>
      <c r="G6" s="19"/>
      <c r="H6" s="5"/>
      <c r="I6" s="5"/>
      <c r="J6" s="5"/>
      <c r="K6" s="5"/>
    </row>
    <row r="7" spans="1:16" x14ac:dyDescent="0.2">
      <c r="A7" s="44" t="s">
        <v>38</v>
      </c>
      <c r="B7" s="40">
        <v>26</v>
      </c>
      <c r="C7" s="19" t="s">
        <v>90</v>
      </c>
      <c r="D7" s="19"/>
      <c r="E7" s="19"/>
      <c r="F7" s="19"/>
      <c r="G7" s="19"/>
      <c r="H7" s="5"/>
      <c r="I7" s="5"/>
      <c r="J7" s="5"/>
      <c r="K7" s="5"/>
    </row>
    <row r="8" spans="1:16" x14ac:dyDescent="0.2">
      <c r="A8" s="44" t="s">
        <v>104</v>
      </c>
      <c r="B8" s="40" t="s">
        <v>113</v>
      </c>
      <c r="C8" s="19" t="s">
        <v>105</v>
      </c>
      <c r="D8" s="19"/>
      <c r="E8" s="19"/>
      <c r="F8" s="19"/>
      <c r="G8" s="19"/>
      <c r="H8" s="5"/>
      <c r="I8" s="5"/>
      <c r="J8" s="5"/>
      <c r="K8" s="5"/>
    </row>
    <row r="9" spans="1:16" x14ac:dyDescent="0.2">
      <c r="A9" s="44" t="s">
        <v>121</v>
      </c>
      <c r="B9" s="41">
        <v>300</v>
      </c>
      <c r="C9" s="19" t="s">
        <v>247</v>
      </c>
      <c r="D9" s="19"/>
      <c r="E9" s="19"/>
      <c r="F9" s="19"/>
      <c r="G9" s="19"/>
      <c r="H9" s="5"/>
      <c r="I9" s="5"/>
      <c r="J9" s="5"/>
      <c r="K9" s="5"/>
    </row>
    <row r="10" spans="1:16" x14ac:dyDescent="0.2">
      <c r="A10" s="44" t="s">
        <v>320</v>
      </c>
      <c r="B10" s="41"/>
      <c r="C10" s="19"/>
      <c r="D10" s="19"/>
      <c r="E10" s="19"/>
      <c r="F10" s="19"/>
      <c r="G10" s="19"/>
      <c r="H10" s="5"/>
      <c r="I10" s="5"/>
      <c r="J10" s="5"/>
      <c r="K10" s="5"/>
    </row>
    <row r="11" spans="1:16" ht="17" thickBot="1" x14ac:dyDescent="0.25">
      <c r="A11" s="45" t="s">
        <v>286</v>
      </c>
      <c r="B11" s="42"/>
      <c r="C11" s="19" t="s">
        <v>287</v>
      </c>
      <c r="D11" s="19"/>
      <c r="E11" s="19"/>
      <c r="F11" s="19"/>
      <c r="G11" s="19"/>
      <c r="H11" s="5"/>
      <c r="I11" s="5"/>
      <c r="J11" s="5"/>
      <c r="K11" s="5"/>
    </row>
    <row r="12" spans="1:16" x14ac:dyDescent="0.2">
      <c r="B12" s="19"/>
      <c r="C12" s="19"/>
      <c r="D12" s="19"/>
      <c r="E12" s="19"/>
      <c r="F12" s="19"/>
      <c r="G12" s="19"/>
      <c r="H12" s="5"/>
      <c r="I12" s="5"/>
      <c r="J12" s="5"/>
      <c r="K12" s="5"/>
    </row>
    <row r="13" spans="1:16" x14ac:dyDescent="0.2">
      <c r="B13" s="19"/>
      <c r="C13" s="19"/>
      <c r="D13" s="19"/>
      <c r="E13" s="19"/>
      <c r="F13" s="19"/>
      <c r="G13" s="19"/>
      <c r="H13" s="5"/>
      <c r="I13" s="5"/>
      <c r="J13" s="5"/>
      <c r="K13" s="5"/>
    </row>
    <row r="14" spans="1:16" x14ac:dyDescent="0.2">
      <c r="A14" t="s">
        <v>76</v>
      </c>
      <c r="B14" s="5">
        <f>B3+B4+B5</f>
        <v>2</v>
      </c>
      <c r="C14" s="5"/>
      <c r="D14" s="5"/>
      <c r="E14" s="5"/>
      <c r="F14" s="5"/>
      <c r="G14" s="5"/>
      <c r="H14" s="5"/>
      <c r="I14" s="5"/>
      <c r="J14" s="5"/>
      <c r="K14" s="5"/>
    </row>
    <row r="15" spans="1:16" x14ac:dyDescent="0.2">
      <c r="A15" t="s">
        <v>107</v>
      </c>
      <c r="B15" s="5" t="str" cm="1">
        <f t="array" ref="B15">_xlfn.XLOOKUP(B2,LivingSituationLookup,LivingSituationValue)</f>
        <v>Single</v>
      </c>
      <c r="C15" s="6"/>
      <c r="D15" s="6"/>
      <c r="E15" s="6"/>
      <c r="F15" s="6"/>
      <c r="G15" s="6"/>
      <c r="H15" s="6"/>
      <c r="I15" s="6"/>
      <c r="J15" s="6"/>
      <c r="K15" s="6"/>
    </row>
    <row r="16" spans="1:16" x14ac:dyDescent="0.2">
      <c r="A16" t="s">
        <v>106</v>
      </c>
      <c r="B16" s="5" t="str">
        <f>_xlfn.XLOOKUP(B8,LivingAtHomeLookup,LivingAtHomeValue)</f>
        <v>AwH</v>
      </c>
      <c r="C16" s="6"/>
      <c r="D16" s="6"/>
      <c r="E16" s="31"/>
      <c r="F16" s="6"/>
      <c r="G16" s="6"/>
      <c r="H16" s="6"/>
      <c r="I16" s="6"/>
      <c r="J16" s="6"/>
      <c r="K16" s="6"/>
    </row>
    <row r="17" spans="1:11" x14ac:dyDescent="0.2">
      <c r="A17" t="s">
        <v>108</v>
      </c>
      <c r="B17" s="5" t="str">
        <f>IF(B15="Single",IF(B7&lt;20,"_U20",IF(B7&lt;25,"_U25","_O25")),"_O25")</f>
        <v>_O25</v>
      </c>
      <c r="C17" s="6"/>
      <c r="D17" s="31"/>
      <c r="E17" s="6"/>
      <c r="F17" s="6"/>
      <c r="G17" s="6"/>
      <c r="H17" s="6"/>
      <c r="I17" s="6"/>
      <c r="J17" s="6"/>
      <c r="K17" s="6"/>
    </row>
    <row r="18" spans="1:11" x14ac:dyDescent="0.2">
      <c r="A18" t="s">
        <v>109</v>
      </c>
      <c r="B18" s="5" t="str">
        <f>IF(B14&lt;2,"_"&amp;B14,"_More")</f>
        <v>_More</v>
      </c>
      <c r="C18" s="6"/>
      <c r="D18" s="31"/>
      <c r="E18" s="31"/>
      <c r="F18" s="6"/>
      <c r="G18" s="6"/>
      <c r="H18" s="6"/>
      <c r="I18" s="6"/>
      <c r="J18" s="6"/>
      <c r="K18" s="6"/>
    </row>
    <row r="19" spans="1:11" x14ac:dyDescent="0.2">
      <c r="A19" t="s">
        <v>110</v>
      </c>
      <c r="B19" s="5" t="str">
        <f>B15&amp;"_"&amp;B16&amp;B17&amp;B18</f>
        <v>Single_AwH_O25_More</v>
      </c>
      <c r="C19" s="5"/>
      <c r="D19" s="5"/>
      <c r="E19" s="5"/>
      <c r="F19" s="5"/>
      <c r="G19" s="5"/>
      <c r="H19" s="5"/>
      <c r="I19" s="5"/>
      <c r="J19" s="5"/>
      <c r="K19" s="5"/>
    </row>
    <row r="20" spans="1:11" x14ac:dyDescent="0.2">
      <c r="B20" s="5"/>
      <c r="C20" s="5"/>
      <c r="D20" s="5"/>
      <c r="E20" s="5"/>
      <c r="F20" s="5"/>
      <c r="G20" s="5"/>
      <c r="H20" s="5"/>
      <c r="I20" s="5"/>
      <c r="J20" s="5"/>
      <c r="K20" s="5"/>
    </row>
    <row r="21" spans="1:11" x14ac:dyDescent="0.2">
      <c r="A21" t="s">
        <v>119</v>
      </c>
      <c r="B21" s="22">
        <f>_xlfn.XLOOKUP(B$19,MainBenefitLookup,MainBenefitValues)</f>
        <v>511.65</v>
      </c>
      <c r="C21" s="5"/>
      <c r="D21" s="5"/>
      <c r="E21" s="5"/>
      <c r="F21" s="5"/>
      <c r="G21" s="5"/>
      <c r="H21" s="5"/>
      <c r="I21" s="5"/>
      <c r="J21" s="5"/>
      <c r="K21" s="5"/>
    </row>
    <row r="22" spans="1:11" x14ac:dyDescent="0.2">
      <c r="A22" t="s">
        <v>120</v>
      </c>
      <c r="B22" s="22" cm="1">
        <f t="array" ref="B22">_xlfn.XLOOKUP(B$19,MainBenefitLookup,_xlfn.XLOOKUP(B6,AccommodationSupplementHeader,AccommodationSupplementValues))</f>
        <v>305</v>
      </c>
      <c r="C22" s="5"/>
      <c r="D22" s="5"/>
      <c r="E22" s="5"/>
      <c r="F22" s="5"/>
      <c r="G22" s="5"/>
      <c r="H22" s="5"/>
      <c r="I22" s="5"/>
      <c r="J22" s="5"/>
      <c r="K22" s="5"/>
    </row>
    <row r="23" spans="1:11" x14ac:dyDescent="0.2">
      <c r="A23" t="s">
        <v>122</v>
      </c>
      <c r="B23" s="22">
        <f>_xlfn.XLOOKUP(B$19,MainBenefitLookup,MainBenefitAbatementThresholdValues)</f>
        <v>160</v>
      </c>
      <c r="C23" s="5"/>
      <c r="D23" s="5"/>
      <c r="E23" s="5"/>
      <c r="F23" s="5"/>
      <c r="G23" s="5"/>
      <c r="H23" s="5"/>
      <c r="I23" s="5"/>
      <c r="J23" s="5"/>
      <c r="K23" s="5"/>
    </row>
    <row r="24" spans="1:11" x14ac:dyDescent="0.2">
      <c r="A24" t="s">
        <v>86</v>
      </c>
      <c r="B24" s="14">
        <f>_xlfn.XLOOKUP(B$19,MainBenefitLookup,MainBenefitAbatementValues)</f>
        <v>0.3</v>
      </c>
      <c r="C24" s="5"/>
      <c r="D24" s="5"/>
      <c r="E24" s="5"/>
      <c r="F24" s="5"/>
      <c r="G24" s="5"/>
      <c r="H24" s="5"/>
      <c r="I24" s="5"/>
      <c r="J24" s="5"/>
      <c r="K24" s="5"/>
    </row>
    <row r="25" spans="1:11" x14ac:dyDescent="0.2">
      <c r="A25" t="s">
        <v>123</v>
      </c>
      <c r="B25" s="22" cm="1">
        <f t="array" ref="B25">_xlfn.XLOOKUP(B$19,MainBenefitLookup,MainBenefitAbatementThreshold2Values)</f>
        <v>250</v>
      </c>
      <c r="C25" s="5"/>
      <c r="D25" s="5"/>
      <c r="E25" s="5"/>
      <c r="F25" s="5"/>
      <c r="G25" s="5"/>
      <c r="H25" s="5"/>
      <c r="I25" s="5"/>
      <c r="J25" s="5"/>
      <c r="K25" s="5"/>
    </row>
    <row r="26" spans="1:11" x14ac:dyDescent="0.2">
      <c r="A26" t="s">
        <v>124</v>
      </c>
      <c r="B26" s="14" cm="1">
        <f t="array" ref="B26">_xlfn.XLOOKUP(B$19,MainBenefitLookup,MainBenefitAbatement2Values)</f>
        <v>0.7</v>
      </c>
      <c r="C26" s="5"/>
      <c r="D26" s="5"/>
      <c r="E26" s="5"/>
      <c r="F26" s="5"/>
      <c r="G26" s="5"/>
      <c r="H26" s="5"/>
      <c r="I26" s="5"/>
      <c r="J26" s="5"/>
      <c r="K26" s="5"/>
    </row>
    <row r="27" spans="1:11" x14ac:dyDescent="0.2">
      <c r="A27" t="s">
        <v>311</v>
      </c>
      <c r="B27" s="22">
        <f>IF(B25&lt;1,B21/B24+B23,B25+(B21-(B25-B23)*B24)/B26)</f>
        <v>942.35714285714289</v>
      </c>
      <c r="C27" s="19" t="s">
        <v>312</v>
      </c>
      <c r="D27" s="5"/>
      <c r="E27" s="5"/>
      <c r="F27" s="5"/>
      <c r="G27" s="5"/>
      <c r="H27" s="5"/>
      <c r="I27" s="5"/>
      <c r="J27" s="5"/>
      <c r="K27" s="5"/>
    </row>
    <row r="28" spans="1:11" x14ac:dyDescent="0.2">
      <c r="A28" t="s">
        <v>134</v>
      </c>
      <c r="B28" s="22">
        <f>IF(B14=0,0,IF(B14=1,FTC_FirstChild,FTC_FirstChild+(B14-1)*FTC_SubsequentChild))</f>
        <v>231.81</v>
      </c>
      <c r="C28" s="5"/>
      <c r="D28" s="5"/>
      <c r="E28" s="5"/>
      <c r="F28" s="5"/>
      <c r="G28" s="5"/>
      <c r="H28" s="5"/>
      <c r="I28" s="5"/>
      <c r="J28" s="5"/>
      <c r="K28" s="5"/>
    </row>
    <row r="29" spans="1:11" x14ac:dyDescent="0.2">
      <c r="A29" t="s">
        <v>135</v>
      </c>
      <c r="B29" s="22">
        <f>FTC_Threshold/52</f>
        <v>632</v>
      </c>
      <c r="C29" s="5"/>
      <c r="D29" s="5"/>
      <c r="E29" s="5"/>
      <c r="F29" s="5"/>
      <c r="G29" s="5"/>
      <c r="H29" s="5"/>
      <c r="I29" s="5"/>
      <c r="J29" s="5"/>
      <c r="K29" s="5"/>
    </row>
    <row r="30" spans="1:11" x14ac:dyDescent="0.2">
      <c r="A30" t="s">
        <v>136</v>
      </c>
      <c r="B30" s="14">
        <f>FTC_AbatementRate</f>
        <v>0.27</v>
      </c>
      <c r="C30" s="5"/>
      <c r="D30" s="5"/>
      <c r="E30" s="5"/>
      <c r="F30" s="5"/>
      <c r="G30" s="5"/>
      <c r="H30" s="5"/>
      <c r="I30" s="5"/>
      <c r="J30" s="5"/>
      <c r="K30" s="5"/>
    </row>
    <row r="31" spans="1:11" x14ac:dyDescent="0.2">
      <c r="A31" t="s">
        <v>321</v>
      </c>
      <c r="B31" s="46">
        <f>IF(B15="Single",20,30)</f>
        <v>20</v>
      </c>
      <c r="C31" s="5"/>
      <c r="D31" s="5"/>
      <c r="E31" s="5"/>
      <c r="F31" s="5"/>
      <c r="G31" s="5"/>
      <c r="H31" s="5"/>
      <c r="I31" s="5"/>
      <c r="J31" s="5"/>
      <c r="K31" s="5"/>
    </row>
    <row r="32" spans="1:11" x14ac:dyDescent="0.2">
      <c r="A32" t="s">
        <v>325</v>
      </c>
      <c r="B32" s="46">
        <f>IF(B15="Single",0,B10)</f>
        <v>0</v>
      </c>
      <c r="C32" s="5"/>
      <c r="D32" s="5"/>
      <c r="E32" s="5"/>
      <c r="F32" s="5"/>
      <c r="G32" s="5"/>
      <c r="H32" s="5"/>
      <c r="I32" s="5"/>
      <c r="J32" s="5"/>
      <c r="K32" s="5"/>
    </row>
    <row r="33" spans="1:11" x14ac:dyDescent="0.2">
      <c r="A33" t="s">
        <v>328</v>
      </c>
      <c r="B33" s="48">
        <f>'Family Tax Credits'!B10/52</f>
        <v>632</v>
      </c>
      <c r="C33" s="5"/>
      <c r="D33" s="5"/>
      <c r="E33" s="5"/>
      <c r="F33" s="5"/>
      <c r="G33" s="5"/>
      <c r="H33" s="5"/>
      <c r="I33" s="5"/>
      <c r="J33" s="5"/>
      <c r="K33" s="5"/>
    </row>
    <row r="34" spans="1:11" x14ac:dyDescent="0.2">
      <c r="A34" t="s">
        <v>334</v>
      </c>
      <c r="B34" s="48">
        <f>IF(B14=0,0,IF(B14&lt;4,'Family Tax Credits'!B16,'Family Tax Credits'!B16+'Family Tax Credits'!B17*(B14-3)))</f>
        <v>72.5</v>
      </c>
      <c r="C34" s="5"/>
      <c r="D34" s="5"/>
      <c r="E34" s="5"/>
      <c r="F34" s="5"/>
      <c r="G34" s="5"/>
      <c r="H34" s="5"/>
      <c r="I34" s="5"/>
      <c r="J34" s="5"/>
      <c r="K34" s="5"/>
    </row>
    <row r="35" spans="1:11" x14ac:dyDescent="0.2">
      <c r="A35" t="s">
        <v>338</v>
      </c>
      <c r="B35" s="14">
        <f>IWTC_AbatementRate</f>
        <v>0.27</v>
      </c>
      <c r="C35" s="5"/>
      <c r="D35" s="5"/>
      <c r="E35" s="5"/>
      <c r="F35" s="5"/>
      <c r="G35" s="5"/>
      <c r="H35" s="5"/>
      <c r="I35" s="5"/>
      <c r="J35" s="5"/>
      <c r="K35" s="5"/>
    </row>
    <row r="36" spans="1:11" x14ac:dyDescent="0.2">
      <c r="A36" t="s">
        <v>339</v>
      </c>
      <c r="B36" s="22">
        <f>B29+B28/B30</f>
        <v>1490.5555555555557</v>
      </c>
      <c r="C36" s="5"/>
      <c r="D36" s="5"/>
      <c r="E36" s="5"/>
      <c r="F36" s="5"/>
      <c r="G36" s="5"/>
      <c r="H36" s="5"/>
      <c r="I36" s="5"/>
      <c r="J36" s="5"/>
      <c r="K36" s="5"/>
    </row>
    <row r="37" spans="1:11" x14ac:dyDescent="0.2">
      <c r="A37" t="s">
        <v>154</v>
      </c>
      <c r="B37" s="4">
        <v>0</v>
      </c>
      <c r="C37" s="5"/>
      <c r="D37" s="5"/>
      <c r="E37" s="5"/>
      <c r="F37" s="5"/>
      <c r="G37" s="5"/>
      <c r="H37" s="5"/>
      <c r="I37" s="5"/>
      <c r="J37" s="5"/>
      <c r="K37" s="5"/>
    </row>
    <row r="38" spans="1:11" x14ac:dyDescent="0.2">
      <c r="A38" t="s">
        <v>155</v>
      </c>
      <c r="B38" s="22">
        <f>IF(B$15="Single",14000,28000)</f>
        <v>14000</v>
      </c>
      <c r="C38" s="22">
        <f>0.14*B38</f>
        <v>1960.0000000000002</v>
      </c>
      <c r="D38" s="24">
        <f>B38-C38</f>
        <v>12040</v>
      </c>
      <c r="E38" s="14">
        <f>1/(1-0.175)-1</f>
        <v>0.21212121212121215</v>
      </c>
      <c r="F38" s="5"/>
      <c r="G38" s="5"/>
      <c r="H38" s="5"/>
      <c r="I38" s="5"/>
      <c r="J38" s="5"/>
      <c r="K38" s="5"/>
    </row>
    <row r="39" spans="1:11" x14ac:dyDescent="0.2">
      <c r="A39" t="s">
        <v>156</v>
      </c>
      <c r="B39" s="22">
        <f>IF(B$15="Single",48000,96000)</f>
        <v>48000</v>
      </c>
      <c r="C39" s="24">
        <f>C38+(B39-B38)*0.175</f>
        <v>7910</v>
      </c>
      <c r="D39" s="24">
        <f>B39-C39</f>
        <v>40090</v>
      </c>
      <c r="E39" s="14">
        <f>1/(1-0.3)-1</f>
        <v>0.4285714285714286</v>
      </c>
      <c r="F39" s="5"/>
      <c r="G39" s="24"/>
      <c r="H39" s="5"/>
      <c r="I39" s="5"/>
      <c r="J39" s="5"/>
      <c r="K39" s="5"/>
    </row>
    <row r="40" spans="1:11" x14ac:dyDescent="0.2">
      <c r="A40" t="s">
        <v>157</v>
      </c>
      <c r="B40" s="22">
        <f>IF(B$15="Single",70000,140000)</f>
        <v>70000</v>
      </c>
      <c r="C40" s="24">
        <f>C39+(B40-B39)*0.33</f>
        <v>15170</v>
      </c>
      <c r="D40" s="24">
        <f>B40-C40</f>
        <v>54830</v>
      </c>
      <c r="E40" s="5"/>
      <c r="F40" s="50"/>
      <c r="G40" s="5"/>
      <c r="H40" s="5"/>
      <c r="I40" s="5"/>
      <c r="J40" s="5"/>
      <c r="K40" s="5"/>
    </row>
    <row r="41" spans="1:11" x14ac:dyDescent="0.2">
      <c r="A41" t="s">
        <v>158</v>
      </c>
      <c r="B41" s="22">
        <f>IF(B$15="Single",180000,360000)</f>
        <v>180000</v>
      </c>
      <c r="C41" s="24">
        <f>C40+(B41-B40)*0.39</f>
        <v>58070</v>
      </c>
      <c r="D41" s="24">
        <f>B41-C41</f>
        <v>121930</v>
      </c>
      <c r="E41" s="5"/>
      <c r="F41" s="5"/>
      <c r="G41" s="5"/>
      <c r="H41" s="5"/>
      <c r="I41" s="5"/>
      <c r="J41" s="5"/>
      <c r="K41" s="5"/>
    </row>
    <row r="42" spans="1:11" x14ac:dyDescent="0.2">
      <c r="B42" s="22"/>
      <c r="C42" s="24"/>
      <c r="D42" s="5"/>
      <c r="E42" s="5"/>
      <c r="F42" s="5"/>
      <c r="G42" s="5"/>
      <c r="H42" s="5"/>
      <c r="I42" s="5"/>
      <c r="J42" s="5"/>
      <c r="K42" s="5"/>
    </row>
    <row r="43" spans="1:11" x14ac:dyDescent="0.2">
      <c r="A43" t="s">
        <v>170</v>
      </c>
      <c r="B43" s="22"/>
      <c r="C43" s="24"/>
      <c r="D43" s="5"/>
      <c r="E43" s="5"/>
      <c r="F43" s="5"/>
      <c r="G43" s="5"/>
      <c r="H43" s="5"/>
      <c r="I43" s="5"/>
      <c r="J43" s="5"/>
      <c r="K43" s="5"/>
    </row>
    <row r="44" spans="1:11" x14ac:dyDescent="0.2">
      <c r="A44" t="s">
        <v>171</v>
      </c>
      <c r="B44" s="25">
        <f>IF(B14&lt;2,1,IF(B14&gt;2,3,2))</f>
        <v>2</v>
      </c>
      <c r="C44" s="24"/>
      <c r="D44" s="5"/>
      <c r="E44" s="5"/>
      <c r="F44" s="5"/>
      <c r="G44" s="5"/>
      <c r="H44" s="5"/>
      <c r="I44" s="5"/>
      <c r="J44" s="5"/>
      <c r="K44" s="5"/>
    </row>
    <row r="45" spans="1:11" x14ac:dyDescent="0.2">
      <c r="A45" t="s">
        <v>172</v>
      </c>
      <c r="B45" s="22" cm="1">
        <f t="array" ref="B45">_xlfn.XLOOKUP(B$44,CCO_NumberChildren,_xlfn.XLOOKUP(A45,CCO_Lookup,CCO_Value))</f>
        <v>963</v>
      </c>
      <c r="C45" s="24"/>
      <c r="D45" s="5"/>
      <c r="E45" s="5"/>
      <c r="F45" s="5"/>
      <c r="G45" s="5"/>
      <c r="H45" s="5"/>
      <c r="I45" s="5"/>
      <c r="J45" s="5"/>
      <c r="K45" s="5"/>
    </row>
    <row r="46" spans="1:11" x14ac:dyDescent="0.2">
      <c r="A46" t="s">
        <v>164</v>
      </c>
      <c r="B46" s="22" cm="1">
        <f t="array" ref="B46">_xlfn.XLOOKUP(B$44,CCO_NumberChildren,_xlfn.XLOOKUP(A46,CCO_Lookup,CCO_Value))</f>
        <v>1445</v>
      </c>
      <c r="C46" s="24"/>
      <c r="D46" s="5"/>
      <c r="E46" s="5"/>
      <c r="F46" s="5"/>
      <c r="G46" s="5"/>
      <c r="H46" s="5"/>
      <c r="I46" s="5"/>
      <c r="J46" s="5"/>
      <c r="K46" s="5"/>
    </row>
    <row r="47" spans="1:11" x14ac:dyDescent="0.2">
      <c r="A47" t="s">
        <v>165</v>
      </c>
      <c r="B47" s="22" cm="1">
        <f t="array" ref="B47">_xlfn.XLOOKUP(B$44,CCO_NumberChildren,_xlfn.XLOOKUP(A47,CCO_Lookup,CCO_Value))</f>
        <v>1560</v>
      </c>
      <c r="C47" s="24"/>
      <c r="D47" s="5"/>
      <c r="E47" s="5"/>
      <c r="F47" s="5"/>
      <c r="G47" s="5"/>
      <c r="H47" s="5"/>
      <c r="I47" s="5"/>
      <c r="J47" s="5"/>
      <c r="K47" s="5"/>
    </row>
    <row r="48" spans="1:11" x14ac:dyDescent="0.2">
      <c r="A48" t="s">
        <v>166</v>
      </c>
      <c r="B48" s="22" cm="1">
        <f t="array" ref="B48">_xlfn.XLOOKUP(B$44,CCO_NumberChildren,_xlfn.XLOOKUP(A48,CCO_Lookup,CCO_Value))</f>
        <v>1078.99</v>
      </c>
      <c r="C48" s="24"/>
      <c r="D48" s="5"/>
      <c r="E48" s="5"/>
      <c r="F48" s="5"/>
      <c r="G48" s="5"/>
      <c r="H48" s="5"/>
      <c r="I48" s="5"/>
      <c r="J48" s="5"/>
      <c r="K48" s="5"/>
    </row>
    <row r="49" spans="1:59" x14ac:dyDescent="0.2">
      <c r="A49" t="s">
        <v>173</v>
      </c>
      <c r="B49" s="22" cm="1">
        <f t="array" ref="B49">_xlfn.XLOOKUP(B$44,CCO_NumberChildren,_xlfn.XLOOKUP(A49,CCO_Lookup,CCO_Value))</f>
        <v>5.69</v>
      </c>
      <c r="C49" s="24"/>
      <c r="D49" s="5"/>
      <c r="E49" s="5"/>
      <c r="F49" s="5"/>
      <c r="G49" s="5"/>
      <c r="H49" s="5"/>
      <c r="I49" s="5"/>
      <c r="J49" s="5"/>
      <c r="K49" s="5"/>
    </row>
    <row r="50" spans="1:59" x14ac:dyDescent="0.2">
      <c r="A50" t="s">
        <v>167</v>
      </c>
      <c r="B50" s="22" cm="1">
        <f t="array" ref="B50">_xlfn.XLOOKUP(B$44,CCO_NumberChildren,_xlfn.XLOOKUP(A50,CCO_Lookup,CCO_Value))</f>
        <v>4.53</v>
      </c>
      <c r="C50" s="24"/>
      <c r="D50" s="5"/>
      <c r="E50" s="5"/>
      <c r="F50" s="5"/>
      <c r="G50" s="5"/>
      <c r="H50" s="5"/>
      <c r="I50" s="5"/>
      <c r="J50" s="5"/>
      <c r="K50" s="5"/>
    </row>
    <row r="51" spans="1:59" x14ac:dyDescent="0.2">
      <c r="A51" t="s">
        <v>168</v>
      </c>
      <c r="B51" s="22" cm="1">
        <f t="array" ref="B51">_xlfn.XLOOKUP(B$44,CCO_NumberChildren,_xlfn.XLOOKUP(A51,CCO_Lookup,CCO_Value))</f>
        <v>3.17</v>
      </c>
      <c r="C51" s="24"/>
      <c r="D51" s="5"/>
      <c r="E51" s="5"/>
      <c r="F51" s="5"/>
      <c r="G51" s="5"/>
      <c r="H51" s="5"/>
      <c r="I51" s="5"/>
      <c r="J51" s="5"/>
      <c r="K51" s="5"/>
    </row>
    <row r="52" spans="1:59" x14ac:dyDescent="0.2">
      <c r="A52" t="s">
        <v>169</v>
      </c>
      <c r="B52" s="22" cm="1">
        <f t="array" ref="B52">_xlfn.XLOOKUP(B$44,CCO_NumberChildren,_xlfn.XLOOKUP(A52,CCO_Lookup,CCO_Value))</f>
        <v>1.77</v>
      </c>
      <c r="C52" s="24"/>
      <c r="D52" s="5"/>
      <c r="E52" s="5"/>
      <c r="F52" s="5"/>
      <c r="G52" s="5"/>
      <c r="H52" s="5"/>
      <c r="I52" s="5"/>
      <c r="J52" s="5"/>
      <c r="K52" s="5"/>
    </row>
    <row r="53" spans="1:59" x14ac:dyDescent="0.2">
      <c r="A53" t="s">
        <v>205</v>
      </c>
      <c r="B53" s="22">
        <v>6</v>
      </c>
      <c r="C53" t="s">
        <v>207</v>
      </c>
      <c r="D53" s="5"/>
      <c r="E53" s="5"/>
      <c r="F53" s="5"/>
      <c r="G53" s="5"/>
      <c r="H53" s="5"/>
      <c r="I53" s="5"/>
      <c r="J53" s="5"/>
      <c r="K53" s="5"/>
    </row>
    <row r="54" spans="1:59" x14ac:dyDescent="0.2">
      <c r="A54" t="s">
        <v>206</v>
      </c>
      <c r="B54" s="22">
        <v>3</v>
      </c>
      <c r="C54" t="s">
        <v>180</v>
      </c>
      <c r="D54" s="5"/>
      <c r="E54" s="5"/>
      <c r="F54" s="5"/>
      <c r="G54" s="5"/>
      <c r="H54" s="5"/>
      <c r="I54" s="5"/>
      <c r="J54" s="5"/>
      <c r="K54" s="5"/>
    </row>
    <row r="55" spans="1:59" x14ac:dyDescent="0.2">
      <c r="B55" s="5"/>
      <c r="C55" s="5"/>
      <c r="D55" s="5"/>
      <c r="E55" s="5"/>
      <c r="F55" s="5"/>
      <c r="G55" s="5"/>
      <c r="H55" s="5"/>
      <c r="I55" s="5"/>
      <c r="J55" s="5"/>
      <c r="K55" s="5"/>
    </row>
    <row r="56" spans="1:59" ht="19" x14ac:dyDescent="0.25">
      <c r="A56" s="21" t="s">
        <v>79</v>
      </c>
      <c r="B56" s="5"/>
      <c r="C56" s="5"/>
      <c r="D56" s="5"/>
      <c r="E56" s="5"/>
      <c r="F56" s="5"/>
      <c r="G56" s="5"/>
      <c r="H56" s="5"/>
      <c r="I56" s="5"/>
      <c r="J56" s="5"/>
      <c r="K56" s="5"/>
    </row>
    <row r="57" spans="1:59" x14ac:dyDescent="0.2">
      <c r="A57" t="s">
        <v>297</v>
      </c>
      <c r="B57" s="5">
        <v>20</v>
      </c>
      <c r="C57" s="19"/>
      <c r="D57" s="19"/>
      <c r="E57" s="19"/>
      <c r="F57" s="19"/>
      <c r="G57" s="19"/>
      <c r="H57" s="5"/>
      <c r="I57" s="5"/>
      <c r="J57" s="5"/>
      <c r="K57" s="5"/>
    </row>
    <row r="58" spans="1:59" x14ac:dyDescent="0.2">
      <c r="B58" s="20"/>
      <c r="C58" s="19"/>
      <c r="D58" s="19"/>
      <c r="E58" s="19"/>
      <c r="F58" s="19"/>
      <c r="G58" s="19"/>
      <c r="H58" s="5"/>
      <c r="I58" s="5"/>
      <c r="J58" s="5"/>
      <c r="K58" s="5"/>
    </row>
    <row r="59" spans="1:59" x14ac:dyDescent="0.2">
      <c r="A59" s="58" t="s">
        <v>183</v>
      </c>
      <c r="B59" s="59"/>
      <c r="C59" s="59"/>
      <c r="D59" s="59"/>
      <c r="E59" s="59"/>
      <c r="F59" s="59"/>
      <c r="G59" s="59"/>
      <c r="H59" s="59"/>
      <c r="I59" s="59"/>
      <c r="J59" s="59"/>
      <c r="K59" s="59"/>
      <c r="L59" s="59"/>
      <c r="M59" s="59"/>
      <c r="N59" s="59"/>
      <c r="O59" s="59"/>
      <c r="P59" s="59"/>
      <c r="Q59" s="59"/>
      <c r="R59" s="59"/>
      <c r="S59" s="59"/>
      <c r="T59" s="59"/>
      <c r="U59" s="59"/>
      <c r="V59" s="60"/>
      <c r="W59" s="61" t="s">
        <v>83</v>
      </c>
      <c r="X59" s="61"/>
      <c r="Y59" s="61"/>
      <c r="Z59" s="61"/>
      <c r="AA59" s="61"/>
      <c r="AB59" s="65" t="s">
        <v>141</v>
      </c>
      <c r="AC59" s="66"/>
      <c r="AD59" s="66"/>
      <c r="AE59" s="66"/>
      <c r="AF59" s="66"/>
      <c r="AG59" s="67"/>
      <c r="AH59" s="62" t="s">
        <v>3</v>
      </c>
      <c r="AI59" s="63"/>
      <c r="AJ59" s="63"/>
      <c r="AK59" s="64"/>
      <c r="AL59" s="58" t="s">
        <v>322</v>
      </c>
      <c r="AM59" s="59"/>
      <c r="AN59" s="60"/>
      <c r="AO59" s="65" t="s">
        <v>131</v>
      </c>
      <c r="AP59" s="66"/>
      <c r="AQ59" s="66"/>
      <c r="AR59" s="67"/>
      <c r="AS59" s="55" t="s">
        <v>1</v>
      </c>
      <c r="AT59" s="56"/>
      <c r="AU59" s="56"/>
      <c r="AV59" s="56"/>
      <c r="AW59" s="56"/>
      <c r="AX59" s="56"/>
      <c r="AY59" s="56"/>
      <c r="AZ59" s="56"/>
      <c r="BA59" s="56"/>
      <c r="BB59" s="56"/>
      <c r="BC59" s="56"/>
      <c r="BD59" s="57"/>
      <c r="BE59" s="51" t="s">
        <v>178</v>
      </c>
      <c r="BF59" s="51"/>
      <c r="BG59" s="51"/>
    </row>
    <row r="60" spans="1:59" s="6" customFormat="1" ht="85" x14ac:dyDescent="0.2">
      <c r="A60" s="34" t="s">
        <v>204</v>
      </c>
      <c r="B60" s="34" t="s">
        <v>137</v>
      </c>
      <c r="C60" s="34" t="s">
        <v>288</v>
      </c>
      <c r="D60" s="34" t="s">
        <v>291</v>
      </c>
      <c r="E60" s="34" t="s">
        <v>191</v>
      </c>
      <c r="F60" s="34" t="s">
        <v>148</v>
      </c>
      <c r="G60" s="34" t="s">
        <v>188</v>
      </c>
      <c r="H60" s="34" t="s">
        <v>294</v>
      </c>
      <c r="I60" s="34" t="s">
        <v>160</v>
      </c>
      <c r="J60" s="34" t="s">
        <v>184</v>
      </c>
      <c r="K60" s="34" t="s">
        <v>192</v>
      </c>
      <c r="L60" s="34" t="s">
        <v>193</v>
      </c>
      <c r="M60" s="34" t="s">
        <v>141</v>
      </c>
      <c r="N60" s="34" t="s">
        <v>159</v>
      </c>
      <c r="O60" s="34" t="s">
        <v>1</v>
      </c>
      <c r="P60" s="34" t="s">
        <v>185</v>
      </c>
      <c r="Q60" s="34" t="s">
        <v>186</v>
      </c>
      <c r="R60" s="34" t="s">
        <v>213</v>
      </c>
      <c r="S60" s="34" t="s">
        <v>187</v>
      </c>
      <c r="T60" s="34" t="s">
        <v>189</v>
      </c>
      <c r="U60" s="34" t="s">
        <v>190</v>
      </c>
      <c r="V60" s="34" t="s">
        <v>302</v>
      </c>
      <c r="W60" s="35" t="s">
        <v>142</v>
      </c>
      <c r="X60" s="35" t="s">
        <v>138</v>
      </c>
      <c r="Y60" s="35" t="s">
        <v>139</v>
      </c>
      <c r="Z60" s="35" t="s">
        <v>140</v>
      </c>
      <c r="AA60" s="35" t="s">
        <v>143</v>
      </c>
      <c r="AB60" s="36" t="s">
        <v>144</v>
      </c>
      <c r="AC60" s="36" t="s">
        <v>145</v>
      </c>
      <c r="AD60" s="36" t="s">
        <v>146</v>
      </c>
      <c r="AE60" s="36" t="s">
        <v>147</v>
      </c>
      <c r="AF60" s="36" t="s">
        <v>313</v>
      </c>
      <c r="AG60" s="36" t="s">
        <v>315</v>
      </c>
      <c r="AH60" s="37" t="s">
        <v>151</v>
      </c>
      <c r="AI60" s="37" t="s">
        <v>152</v>
      </c>
      <c r="AJ60" s="37" t="s">
        <v>149</v>
      </c>
      <c r="AK60" s="37" t="s">
        <v>153</v>
      </c>
      <c r="AL60" s="34" t="s">
        <v>323</v>
      </c>
      <c r="AM60" s="34" t="s">
        <v>326</v>
      </c>
      <c r="AN60" s="34" t="s">
        <v>329</v>
      </c>
      <c r="AO60" s="36" t="s">
        <v>332</v>
      </c>
      <c r="AP60" s="36" t="s">
        <v>342</v>
      </c>
      <c r="AQ60" s="36" t="s">
        <v>340</v>
      </c>
      <c r="AR60" s="36" t="s">
        <v>341</v>
      </c>
      <c r="AS60" s="38" t="s">
        <v>161</v>
      </c>
      <c r="AT60" s="38" t="s">
        <v>216</v>
      </c>
      <c r="AU60" s="38" t="s">
        <v>217</v>
      </c>
      <c r="AV60" s="38" t="s">
        <v>162</v>
      </c>
      <c r="AW60" s="38" t="s">
        <v>218</v>
      </c>
      <c r="AX60" s="38" t="s">
        <v>219</v>
      </c>
      <c r="AY60" s="38" t="s">
        <v>220</v>
      </c>
      <c r="AZ60" s="38" t="s">
        <v>221</v>
      </c>
      <c r="BA60" s="38" t="s">
        <v>175</v>
      </c>
      <c r="BB60" s="38" t="s">
        <v>176</v>
      </c>
      <c r="BC60" s="38" t="s">
        <v>177</v>
      </c>
      <c r="BD60" s="38" t="s">
        <v>174</v>
      </c>
      <c r="BE60" s="12" t="s">
        <v>181</v>
      </c>
      <c r="BF60" s="12" t="s">
        <v>179</v>
      </c>
      <c r="BG60" s="12" t="s">
        <v>182</v>
      </c>
    </row>
    <row r="61" spans="1:59" s="33" customFormat="1" ht="106" customHeight="1" outlineLevel="1" x14ac:dyDescent="0.2">
      <c r="A61" s="32" t="s">
        <v>298</v>
      </c>
      <c r="B61" s="32" t="s">
        <v>225</v>
      </c>
      <c r="C61" s="32" t="s">
        <v>290</v>
      </c>
      <c r="D61" s="32" t="s">
        <v>292</v>
      </c>
      <c r="E61" s="32" t="s">
        <v>226</v>
      </c>
      <c r="F61" s="32" t="s">
        <v>293</v>
      </c>
      <c r="G61" s="32" t="s">
        <v>227</v>
      </c>
      <c r="H61" s="32" t="s">
        <v>295</v>
      </c>
      <c r="I61" s="32" t="s">
        <v>228</v>
      </c>
      <c r="J61" s="32" t="s">
        <v>229</v>
      </c>
      <c r="K61" s="32" t="s">
        <v>230</v>
      </c>
      <c r="L61" s="32" t="s">
        <v>231</v>
      </c>
      <c r="M61" s="32" t="s">
        <v>248</v>
      </c>
      <c r="N61" s="32" t="s">
        <v>331</v>
      </c>
      <c r="O61" s="32" t="s">
        <v>232</v>
      </c>
      <c r="P61" s="32" t="s">
        <v>233</v>
      </c>
      <c r="Q61" s="32" t="s">
        <v>234</v>
      </c>
      <c r="R61" s="32" t="s">
        <v>235</v>
      </c>
      <c r="S61" s="32" t="s">
        <v>236</v>
      </c>
      <c r="T61" s="32" t="s">
        <v>237</v>
      </c>
      <c r="U61" s="32" t="s">
        <v>238</v>
      </c>
      <c r="V61" s="32" t="s">
        <v>303</v>
      </c>
      <c r="W61" s="32" t="s">
        <v>239</v>
      </c>
      <c r="X61" s="32" t="s">
        <v>240</v>
      </c>
      <c r="Y61" s="32" t="s">
        <v>241</v>
      </c>
      <c r="Z61" s="32" t="s">
        <v>268</v>
      </c>
      <c r="AA61" s="32" t="s">
        <v>242</v>
      </c>
      <c r="AB61" s="32" t="s">
        <v>243</v>
      </c>
      <c r="AC61" s="32" t="s">
        <v>244</v>
      </c>
      <c r="AD61" s="32" t="s">
        <v>245</v>
      </c>
      <c r="AE61" s="32" t="s">
        <v>246</v>
      </c>
      <c r="AF61" s="32" t="s">
        <v>314</v>
      </c>
      <c r="AG61" s="32" t="s">
        <v>316</v>
      </c>
      <c r="AH61" s="32" t="s">
        <v>269</v>
      </c>
      <c r="AI61" s="32" t="s">
        <v>270</v>
      </c>
      <c r="AJ61" s="32" t="s">
        <v>271</v>
      </c>
      <c r="AK61" s="32" t="s">
        <v>272</v>
      </c>
      <c r="AL61" s="32" t="s">
        <v>324</v>
      </c>
      <c r="AM61" s="32" t="s">
        <v>327</v>
      </c>
      <c r="AN61" s="32" t="s">
        <v>330</v>
      </c>
      <c r="AO61" s="32" t="s">
        <v>333</v>
      </c>
      <c r="AP61" s="32" t="s">
        <v>337</v>
      </c>
      <c r="AQ61" s="32" t="s">
        <v>343</v>
      </c>
      <c r="AR61" s="32" t="s">
        <v>344</v>
      </c>
      <c r="AS61" s="32" t="s">
        <v>273</v>
      </c>
      <c r="AT61" s="32" t="s">
        <v>274</v>
      </c>
      <c r="AU61" s="32"/>
      <c r="AV61" s="32" t="s">
        <v>275</v>
      </c>
      <c r="AW61" s="32" t="s">
        <v>276</v>
      </c>
      <c r="AX61" s="32"/>
      <c r="AY61" s="32" t="s">
        <v>277</v>
      </c>
      <c r="AZ61" s="32" t="s">
        <v>279</v>
      </c>
      <c r="BA61" s="32"/>
      <c r="BB61" s="32" t="s">
        <v>280</v>
      </c>
      <c r="BC61" s="32" t="s">
        <v>281</v>
      </c>
      <c r="BD61" s="32" t="s">
        <v>282</v>
      </c>
      <c r="BE61" s="32" t="s">
        <v>283</v>
      </c>
      <c r="BF61" s="32" t="s">
        <v>284</v>
      </c>
      <c r="BG61" s="32" t="s">
        <v>285</v>
      </c>
    </row>
    <row r="62" spans="1:59" x14ac:dyDescent="0.2">
      <c r="A62" s="8">
        <v>21</v>
      </c>
      <c r="B62" s="26">
        <f t="shared" ref="B62:B93" si="0">A62*B$57</f>
        <v>420</v>
      </c>
      <c r="C62" s="26">
        <f>IF(B$15="Couple1",B$11/52,0)</f>
        <v>0</v>
      </c>
      <c r="D62" s="26">
        <f>SUM(B62:C62)</f>
        <v>420</v>
      </c>
      <c r="E62" s="27">
        <f>AA62</f>
        <v>365.65</v>
      </c>
      <c r="F62" s="26">
        <f>D62+E62</f>
        <v>785.65</v>
      </c>
      <c r="G62" s="26">
        <f>F62*52</f>
        <v>40853.799999999996</v>
      </c>
      <c r="H62" s="26">
        <f>IF(G62&gt;B$41,C$41+(G62-B$41)*0.39,IF(G62&gt;B$40,C$40+(G62-B$40)*0.33,IF(G62&gt;B$39,C$39+(G62-B$39)*0.3,IF(G62&gt;B$38,C$38+(G62-B$38)*0.175,G62*0.14))))</f>
        <v>6659.4149999999991</v>
      </c>
      <c r="I62" s="26">
        <f>G62-H62</f>
        <v>34194.384999999995</v>
      </c>
      <c r="J62" s="26">
        <f>I62/52</f>
        <v>657.58432692307679</v>
      </c>
      <c r="K62" s="26">
        <f>J62*(D62/(D62+E62))</f>
        <v>351.53747509411602</v>
      </c>
      <c r="L62" s="26">
        <f>J62*(E62/(D62+E62))</f>
        <v>306.04685182896077</v>
      </c>
      <c r="M62" s="26">
        <f>AG62</f>
        <v>129.06562500000001</v>
      </c>
      <c r="N62" s="27">
        <f>AK62+AN62+AR62</f>
        <v>190.3245</v>
      </c>
      <c r="O62" s="27">
        <f>BD62</f>
        <v>0</v>
      </c>
      <c r="P62" s="26">
        <f>J62+M62+N62+O62</f>
        <v>976.97445192307669</v>
      </c>
      <c r="Q62" s="26">
        <f>P62*52</f>
        <v>50802.671499999989</v>
      </c>
      <c r="R62" s="26"/>
      <c r="S62" s="26">
        <f>IF(Q62&lt;D$39,Q62+C$38+(Q62-D$38)*E$38,IF(Q62&lt;D$40,Q62+C$39+(Q62-D$39)*E$39,IF(Q2&lt;D$41,Q62+C$40+(Q62-D$40)*E$40,"NA")))</f>
        <v>63303.816428571416</v>
      </c>
      <c r="T62" s="27">
        <f>BG62</f>
        <v>60</v>
      </c>
      <c r="U62" s="26">
        <f t="shared" ref="U62:U93" si="1">P62-T62</f>
        <v>916.97445192307669</v>
      </c>
      <c r="V62" s="26"/>
      <c r="W62" s="28">
        <f t="shared" ref="W62:W93" si="2">B$21</f>
        <v>511.65</v>
      </c>
      <c r="X62" s="29">
        <f>IF(D62&lt;B$23,0,IF(B$25&lt;1,D62-B$23,IF(D62&gt;B$25,B$25-B$23,D62-B$23)))*B$24</f>
        <v>27</v>
      </c>
      <c r="Y62" s="29">
        <f>IF(B$25&lt;1,0,IF(D62&lt;B$25,0,D62-B$25))*B$26</f>
        <v>118.99999999999999</v>
      </c>
      <c r="Z62" s="29">
        <f>IF((X62+Y62)&gt;W62,W62,X62+Y62)</f>
        <v>146</v>
      </c>
      <c r="AA62" s="28">
        <f>W62-Z62</f>
        <v>365.65</v>
      </c>
      <c r="AB62" s="28">
        <f>W62*0.25</f>
        <v>127.91249999999999</v>
      </c>
      <c r="AC62" s="28">
        <f t="shared" ref="AC62:AC93" si="3">B$9-AB62</f>
        <v>172.08750000000001</v>
      </c>
      <c r="AD62" s="28">
        <f>AC62*0.75</f>
        <v>129.06562500000001</v>
      </c>
      <c r="AE62" s="13">
        <f t="shared" ref="AE62:AE93" si="4">IF(AD62&gt;B$22,B$22,AD62)</f>
        <v>129.06562500000001</v>
      </c>
      <c r="AF62" s="13">
        <f t="shared" ref="AF62:AF93" si="5">IF(F62&lt;B$27,0,F62-B$27)</f>
        <v>0</v>
      </c>
      <c r="AG62" s="13">
        <f>MAX(0,AE62-AF62*0.25)</f>
        <v>129.06562500000001</v>
      </c>
      <c r="AH62" s="28">
        <f t="shared" ref="AH62:AH93" si="6">B$28</f>
        <v>231.81</v>
      </c>
      <c r="AI62" s="13">
        <f t="shared" ref="AI62:AI93" si="7">IF(F62&gt;B$29,F62-B$29,0)</f>
        <v>153.64999999999998</v>
      </c>
      <c r="AJ62" s="28">
        <f t="shared" ref="AJ62:AJ93" si="8">AI62*B$30</f>
        <v>41.485499999999995</v>
      </c>
      <c r="AK62" s="13">
        <f>IF(AJ62&gt;AH62,0,AH62-AJ62)</f>
        <v>190.3245</v>
      </c>
      <c r="AL62" s="47">
        <f>B$57+B$32</f>
        <v>20</v>
      </c>
      <c r="AM62" s="13" t="str">
        <f>IF(AND(AL62&gt;=B$31,F62&lt;B$33,B$14&gt;0),"Y","N")</f>
        <v>N</v>
      </c>
      <c r="AN62" s="13">
        <f>IF(AM62="Y",B$29-F62,0)</f>
        <v>0</v>
      </c>
      <c r="AO62" s="13" t="str">
        <f>IF(AND(AL62&gt;=B$31,AA62=0,B$14&gt;0),"Y","N")</f>
        <v>N</v>
      </c>
      <c r="AP62" s="13">
        <f>B$34</f>
        <v>72.5</v>
      </c>
      <c r="AQ62" s="13">
        <f>IF(F62&gt;B$36,MAX(0,(F62-B$36)*B$35),0)</f>
        <v>0</v>
      </c>
      <c r="AR62" s="13">
        <f>IF(AO62="Y",MAX(AP62-AQ62,0),0)</f>
        <v>0</v>
      </c>
      <c r="AS62" s="9">
        <f t="shared" ref="AS62:AS93" si="9">B$14</f>
        <v>2</v>
      </c>
      <c r="AT62" s="9">
        <f t="shared" ref="AT62:AT93" si="10">IF(B$15="Couple",0,MIN(B$57,50))</f>
        <v>20</v>
      </c>
      <c r="AU62" s="9">
        <f t="shared" ref="AU62:AU93" si="11">B$3</f>
        <v>0</v>
      </c>
      <c r="AV62" s="13">
        <f t="shared" ref="AV62:AV93" si="12">IF(F62&lt;B$45,B$49,IF(F62&lt;B$46,B$50,IF(F62&lt;B$47,B$51,IF(F62&lt;B$48,B$52,0))))</f>
        <v>5.69</v>
      </c>
      <c r="AW62" s="13">
        <f t="shared" ref="AW62:AW93" si="13">AT62*AU62*AV62</f>
        <v>0</v>
      </c>
      <c r="AX62" s="9">
        <f t="shared" ref="AX62:AX93" si="14">B$4</f>
        <v>1</v>
      </c>
      <c r="AY62" s="9">
        <f t="shared" ref="AY62:AY93" si="15">IF(B$15="Couple",0,IF(B$57&lt;20,0,IF((B$57-25)&gt;25,25,B$57-20)))</f>
        <v>0</v>
      </c>
      <c r="AZ62" s="28">
        <f>AX62*AY62*AV62</f>
        <v>0</v>
      </c>
      <c r="BA62" s="9">
        <f t="shared" ref="BA62:BA93" si="16">B$5</f>
        <v>1</v>
      </c>
      <c r="BB62" s="9">
        <f t="shared" ref="BB62:BB93" si="17">IF(B$15="Couple",0,IF(B$57&lt;25,0,IF((B$57-25)&gt;20,20,B$57-25)))</f>
        <v>0</v>
      </c>
      <c r="BC62" s="28">
        <f>AV62*BA62*BB62</f>
        <v>0</v>
      </c>
      <c r="BD62" s="28">
        <f>BC62+AZ62+AW62</f>
        <v>0</v>
      </c>
      <c r="BE62" s="13">
        <f>B$54*B$57</f>
        <v>60</v>
      </c>
      <c r="BF62" s="13">
        <f t="shared" ref="BF62:BF93" si="18">B$53*(BB62*BA62+AX62*AY62+AU62*AT62)</f>
        <v>0</v>
      </c>
      <c r="BG62" s="28">
        <f>BE62+BF62</f>
        <v>60</v>
      </c>
    </row>
    <row r="63" spans="1:59" x14ac:dyDescent="0.2">
      <c r="A63" s="8">
        <f>A62+1</f>
        <v>22</v>
      </c>
      <c r="B63" s="26">
        <f t="shared" si="0"/>
        <v>440</v>
      </c>
      <c r="C63" s="26">
        <f t="shared" ref="C63:C122" si="19">IF(B$15="Couple1",B$11/52,0)</f>
        <v>0</v>
      </c>
      <c r="D63" s="26">
        <f t="shared" ref="D63:D122" si="20">SUM(B63:C63)</f>
        <v>440</v>
      </c>
      <c r="E63" s="27">
        <f t="shared" ref="E63:E122" si="21">AA63</f>
        <v>351.65</v>
      </c>
      <c r="F63" s="26">
        <f t="shared" ref="F63:F122" si="22">D63+E63</f>
        <v>791.65</v>
      </c>
      <c r="G63" s="26">
        <f t="shared" ref="G63:G122" si="23">F63*52</f>
        <v>41165.799999999996</v>
      </c>
      <c r="H63" s="26">
        <f t="shared" ref="H63:H122" si="24">IF(G63&gt;B$41,C$41+(G63-B$41)*0.39,IF(G63&gt;B$40,C$40+(G63-B$40)*0.33,IF(G63&gt;B$39,C$39+(G63-B$39)*0.3,IF(G63&gt;B$38,C$38+(G63-B$38)*0.175,G63*0.14))))</f>
        <v>6714.0149999999985</v>
      </c>
      <c r="I63" s="26">
        <f t="shared" ref="I63:I122" si="25">G63-H63</f>
        <v>34451.784999999996</v>
      </c>
      <c r="J63" s="26">
        <f t="shared" ref="J63:J122" si="26">I63/52</f>
        <v>662.53432692307683</v>
      </c>
      <c r="K63" s="26">
        <f t="shared" ref="K63:K122" si="27">J63*(D63/(D63+E63))</f>
        <v>368.23735722371481</v>
      </c>
      <c r="L63" s="26">
        <f t="shared" ref="L63:L122" si="28">J63*(E63/(D63+E63))</f>
        <v>294.29696969936208</v>
      </c>
      <c r="M63" s="26">
        <f t="shared" ref="M63:M122" si="29">AG63</f>
        <v>129.06562500000001</v>
      </c>
      <c r="N63" s="27">
        <f t="shared" ref="N63:N122" si="30">AK63+AN63+AR63</f>
        <v>188.7045</v>
      </c>
      <c r="O63" s="27">
        <f t="shared" ref="O63:O122" si="31">BD63</f>
        <v>0</v>
      </c>
      <c r="P63" s="26">
        <f t="shared" ref="P63:P122" si="32">J63+M63+N63+O63</f>
        <v>980.30445192307684</v>
      </c>
      <c r="Q63" s="26">
        <f t="shared" ref="Q63:Q122" si="33">P63*52</f>
        <v>50975.831499999993</v>
      </c>
      <c r="R63" s="16">
        <f t="shared" ref="R63:R94" si="34">1-(P63-P62)/(B63-B62)</f>
        <v>0.83349999999999225</v>
      </c>
      <c r="S63" s="26">
        <f t="shared" ref="S63:S122" si="35">IF(Q63&lt;D$39,Q63+C$38+(Q63-D$38)*E$38,IF(Q63&lt;D$40,Q63+C$39+(Q63-D$39)*E$39,IF(Q3&lt;D$41,Q63+C$40+(Q63-D$40)*E$40,"NA")))</f>
        <v>63551.187857142846</v>
      </c>
      <c r="T63" s="27">
        <f t="shared" ref="T63:T122" si="36">BG63</f>
        <v>60</v>
      </c>
      <c r="U63" s="26">
        <f t="shared" si="1"/>
        <v>920.30445192307684</v>
      </c>
      <c r="V63" s="16">
        <f>1-(U63-U62)/(B63-B62)</f>
        <v>0.83349999999999225</v>
      </c>
      <c r="W63" s="28">
        <f t="shared" si="2"/>
        <v>511.65</v>
      </c>
      <c r="X63" s="29">
        <f t="shared" ref="X63:X122" si="37">IF(D63&lt;B$23,0,IF(B$25&lt;1,D63-B$23,IF(D63&gt;B$25,B$25-B$23,D63-B$23)))*B$24</f>
        <v>27</v>
      </c>
      <c r="Y63" s="29">
        <f t="shared" ref="Y63:Y122" si="38">IF(B$25&lt;1,0,IF(D63&lt;B$25,0,D63-B$25))*B$26</f>
        <v>133</v>
      </c>
      <c r="Z63" s="29">
        <f t="shared" ref="Z63:Z122" si="39">IF((X63+Y63)&gt;W63,W63,X63+Y63)</f>
        <v>160</v>
      </c>
      <c r="AA63" s="28">
        <f t="shared" ref="AA63:AA122" si="40">W63-Z63</f>
        <v>351.65</v>
      </c>
      <c r="AB63" s="28">
        <f t="shared" ref="AB63:AB122" si="41">W63*0.25</f>
        <v>127.91249999999999</v>
      </c>
      <c r="AC63" s="28">
        <f t="shared" si="3"/>
        <v>172.08750000000001</v>
      </c>
      <c r="AD63" s="28">
        <f t="shared" ref="AD63:AD122" si="42">AC63*0.75</f>
        <v>129.06562500000001</v>
      </c>
      <c r="AE63" s="13">
        <f t="shared" si="4"/>
        <v>129.06562500000001</v>
      </c>
      <c r="AF63" s="13">
        <f t="shared" si="5"/>
        <v>0</v>
      </c>
      <c r="AG63" s="13">
        <f t="shared" ref="AG63:AG122" si="43">MAX(0,AE63-AF63*0.25)</f>
        <v>129.06562500000001</v>
      </c>
      <c r="AH63" s="28">
        <f t="shared" si="6"/>
        <v>231.81</v>
      </c>
      <c r="AI63" s="13">
        <f t="shared" si="7"/>
        <v>159.64999999999998</v>
      </c>
      <c r="AJ63" s="28">
        <f t="shared" si="8"/>
        <v>43.105499999999999</v>
      </c>
      <c r="AK63" s="13">
        <f t="shared" ref="AK63:AK122" si="44">IF(AJ63&gt;AH63,0,AH63-AJ63)</f>
        <v>188.7045</v>
      </c>
      <c r="AL63" s="47">
        <f t="shared" ref="AL63:AL122" si="45">B$57+B$32</f>
        <v>20</v>
      </c>
      <c r="AM63" s="13" t="str">
        <f t="shared" ref="AM63:AM122" si="46">IF(AND(AL63&gt;=B$31,F63&lt;B$33,B$14&gt;0),"Y","N")</f>
        <v>N</v>
      </c>
      <c r="AN63" s="13">
        <f t="shared" ref="AN63:AN122" si="47">IF(AM63="Y",B$29-F63,0)</f>
        <v>0</v>
      </c>
      <c r="AO63" s="13" t="str">
        <f t="shared" ref="AO63:AO122" si="48">IF(AND(AL63&gt;=B$31,AA63=0,B$14&gt;0),"Y","N")</f>
        <v>N</v>
      </c>
      <c r="AP63" s="13">
        <f t="shared" ref="AP63:AP122" si="49">B$34</f>
        <v>72.5</v>
      </c>
      <c r="AQ63" s="13">
        <f t="shared" ref="AQ63:AQ122" si="50">IF(F63&gt;B$36,MAX(0,(F63-B$36)*B$35),0)</f>
        <v>0</v>
      </c>
      <c r="AR63" s="13">
        <f t="shared" ref="AR63:AR122" si="51">IF(AO63="Y",MAX(AP63-AQ63,0),0)</f>
        <v>0</v>
      </c>
      <c r="AS63" s="9">
        <f t="shared" si="9"/>
        <v>2</v>
      </c>
      <c r="AT63" s="9">
        <f t="shared" si="10"/>
        <v>20</v>
      </c>
      <c r="AU63" s="9">
        <f t="shared" si="11"/>
        <v>0</v>
      </c>
      <c r="AV63" s="13">
        <f t="shared" si="12"/>
        <v>5.69</v>
      </c>
      <c r="AW63" s="13">
        <f t="shared" si="13"/>
        <v>0</v>
      </c>
      <c r="AX63" s="9">
        <f t="shared" si="14"/>
        <v>1</v>
      </c>
      <c r="AY63" s="9">
        <f t="shared" si="15"/>
        <v>0</v>
      </c>
      <c r="AZ63" s="28">
        <f t="shared" ref="AZ63:AZ122" si="52">AX63*AY63*AV63</f>
        <v>0</v>
      </c>
      <c r="BA63" s="9">
        <f t="shared" si="16"/>
        <v>1</v>
      </c>
      <c r="BB63" s="9">
        <f t="shared" si="17"/>
        <v>0</v>
      </c>
      <c r="BC63" s="28">
        <f t="shared" ref="BC63:BC122" si="53">AV63*BA63*BB63</f>
        <v>0</v>
      </c>
      <c r="BD63" s="28">
        <f t="shared" ref="BD63:BD122" si="54">BC63+AZ63+AW63</f>
        <v>0</v>
      </c>
      <c r="BE63" s="13">
        <f t="shared" ref="BE63:BE122" si="55">B$54*B$57</f>
        <v>60</v>
      </c>
      <c r="BF63" s="13">
        <f t="shared" si="18"/>
        <v>0</v>
      </c>
      <c r="BG63" s="28">
        <f t="shared" ref="BG63:BG122" si="56">BE63+BF63</f>
        <v>60</v>
      </c>
    </row>
    <row r="64" spans="1:59" x14ac:dyDescent="0.2">
      <c r="A64" s="8">
        <f t="shared" ref="A64:A122" si="57">A63+1</f>
        <v>23</v>
      </c>
      <c r="B64" s="26">
        <f t="shared" si="0"/>
        <v>460</v>
      </c>
      <c r="C64" s="26">
        <f t="shared" si="19"/>
        <v>0</v>
      </c>
      <c r="D64" s="26">
        <f t="shared" si="20"/>
        <v>460</v>
      </c>
      <c r="E64" s="27">
        <f t="shared" si="21"/>
        <v>337.65</v>
      </c>
      <c r="F64" s="26">
        <f t="shared" si="22"/>
        <v>797.65</v>
      </c>
      <c r="G64" s="26">
        <f t="shared" si="23"/>
        <v>41477.799999999996</v>
      </c>
      <c r="H64" s="26">
        <f t="shared" si="24"/>
        <v>6768.6149999999989</v>
      </c>
      <c r="I64" s="26">
        <f t="shared" si="25"/>
        <v>34709.184999999998</v>
      </c>
      <c r="J64" s="26">
        <f t="shared" si="26"/>
        <v>667.48432692307688</v>
      </c>
      <c r="K64" s="26">
        <f t="shared" si="27"/>
        <v>384.93423228811554</v>
      </c>
      <c r="L64" s="26">
        <f t="shared" si="28"/>
        <v>282.55009463496134</v>
      </c>
      <c r="M64" s="26">
        <f t="shared" si="29"/>
        <v>129.06562500000001</v>
      </c>
      <c r="N64" s="27">
        <f t="shared" si="30"/>
        <v>187.08449999999999</v>
      </c>
      <c r="O64" s="27">
        <f t="shared" si="31"/>
        <v>0</v>
      </c>
      <c r="P64" s="26">
        <f t="shared" si="32"/>
        <v>983.63445192307677</v>
      </c>
      <c r="Q64" s="26">
        <f t="shared" si="33"/>
        <v>51148.991499999989</v>
      </c>
      <c r="R64" s="16">
        <f t="shared" si="34"/>
        <v>0.83350000000000368</v>
      </c>
      <c r="S64" s="26">
        <f t="shared" si="35"/>
        <v>63798.559285714269</v>
      </c>
      <c r="T64" s="27">
        <f t="shared" si="36"/>
        <v>60</v>
      </c>
      <c r="U64" s="26">
        <f t="shared" si="1"/>
        <v>923.63445192307677</v>
      </c>
      <c r="V64" s="16">
        <f t="shared" ref="V64:V122" si="58">1-(U64-U63)/(B64-B63)</f>
        <v>0.83350000000000368</v>
      </c>
      <c r="W64" s="28">
        <f t="shared" si="2"/>
        <v>511.65</v>
      </c>
      <c r="X64" s="29">
        <f t="shared" si="37"/>
        <v>27</v>
      </c>
      <c r="Y64" s="29">
        <f t="shared" si="38"/>
        <v>147</v>
      </c>
      <c r="Z64" s="29">
        <f t="shared" si="39"/>
        <v>174</v>
      </c>
      <c r="AA64" s="28">
        <f t="shared" si="40"/>
        <v>337.65</v>
      </c>
      <c r="AB64" s="28">
        <f t="shared" si="41"/>
        <v>127.91249999999999</v>
      </c>
      <c r="AC64" s="28">
        <f t="shared" si="3"/>
        <v>172.08750000000001</v>
      </c>
      <c r="AD64" s="28">
        <f t="shared" si="42"/>
        <v>129.06562500000001</v>
      </c>
      <c r="AE64" s="13">
        <f t="shared" si="4"/>
        <v>129.06562500000001</v>
      </c>
      <c r="AF64" s="13">
        <f t="shared" si="5"/>
        <v>0</v>
      </c>
      <c r="AG64" s="13">
        <f t="shared" si="43"/>
        <v>129.06562500000001</v>
      </c>
      <c r="AH64" s="28">
        <f t="shared" si="6"/>
        <v>231.81</v>
      </c>
      <c r="AI64" s="13">
        <f t="shared" si="7"/>
        <v>165.64999999999998</v>
      </c>
      <c r="AJ64" s="28">
        <f t="shared" si="8"/>
        <v>44.725499999999997</v>
      </c>
      <c r="AK64" s="13">
        <f t="shared" si="44"/>
        <v>187.08449999999999</v>
      </c>
      <c r="AL64" s="47">
        <f t="shared" si="45"/>
        <v>20</v>
      </c>
      <c r="AM64" s="13" t="str">
        <f t="shared" si="46"/>
        <v>N</v>
      </c>
      <c r="AN64" s="13">
        <f t="shared" si="47"/>
        <v>0</v>
      </c>
      <c r="AO64" s="13" t="str">
        <f t="shared" si="48"/>
        <v>N</v>
      </c>
      <c r="AP64" s="13">
        <f t="shared" si="49"/>
        <v>72.5</v>
      </c>
      <c r="AQ64" s="13">
        <f t="shared" si="50"/>
        <v>0</v>
      </c>
      <c r="AR64" s="13">
        <f t="shared" si="51"/>
        <v>0</v>
      </c>
      <c r="AS64" s="9">
        <f t="shared" si="9"/>
        <v>2</v>
      </c>
      <c r="AT64" s="9">
        <f t="shared" si="10"/>
        <v>20</v>
      </c>
      <c r="AU64" s="9">
        <f t="shared" si="11"/>
        <v>0</v>
      </c>
      <c r="AV64" s="13">
        <f t="shared" si="12"/>
        <v>5.69</v>
      </c>
      <c r="AW64" s="13">
        <f t="shared" si="13"/>
        <v>0</v>
      </c>
      <c r="AX64" s="9">
        <f t="shared" si="14"/>
        <v>1</v>
      </c>
      <c r="AY64" s="9">
        <f t="shared" si="15"/>
        <v>0</v>
      </c>
      <c r="AZ64" s="28">
        <f t="shared" si="52"/>
        <v>0</v>
      </c>
      <c r="BA64" s="9">
        <f t="shared" si="16"/>
        <v>1</v>
      </c>
      <c r="BB64" s="9">
        <f t="shared" si="17"/>
        <v>0</v>
      </c>
      <c r="BC64" s="28">
        <f t="shared" si="53"/>
        <v>0</v>
      </c>
      <c r="BD64" s="28">
        <f t="shared" si="54"/>
        <v>0</v>
      </c>
      <c r="BE64" s="13">
        <f t="shared" si="55"/>
        <v>60</v>
      </c>
      <c r="BF64" s="13">
        <f t="shared" si="18"/>
        <v>0</v>
      </c>
      <c r="BG64" s="28">
        <f t="shared" si="56"/>
        <v>60</v>
      </c>
    </row>
    <row r="65" spans="1:59" x14ac:dyDescent="0.2">
      <c r="A65" s="8">
        <f t="shared" si="57"/>
        <v>24</v>
      </c>
      <c r="B65" s="26">
        <f t="shared" si="0"/>
        <v>480</v>
      </c>
      <c r="C65" s="26">
        <f t="shared" si="19"/>
        <v>0</v>
      </c>
      <c r="D65" s="26">
        <f t="shared" si="20"/>
        <v>480</v>
      </c>
      <c r="E65" s="27">
        <f t="shared" si="21"/>
        <v>323.64999999999998</v>
      </c>
      <c r="F65" s="26">
        <f t="shared" si="22"/>
        <v>803.65</v>
      </c>
      <c r="G65" s="26">
        <f t="shared" si="23"/>
        <v>41789.799999999996</v>
      </c>
      <c r="H65" s="26">
        <f t="shared" si="24"/>
        <v>6823.2149999999992</v>
      </c>
      <c r="I65" s="26">
        <f t="shared" si="25"/>
        <v>34966.584999999999</v>
      </c>
      <c r="J65" s="26">
        <f t="shared" si="26"/>
        <v>672.43432692307692</v>
      </c>
      <c r="K65" s="26">
        <f t="shared" si="27"/>
        <v>401.62816763899332</v>
      </c>
      <c r="L65" s="26">
        <f t="shared" si="28"/>
        <v>270.80615928408366</v>
      </c>
      <c r="M65" s="26">
        <f t="shared" si="29"/>
        <v>129.06562500000001</v>
      </c>
      <c r="N65" s="27">
        <f t="shared" si="30"/>
        <v>185.46450000000002</v>
      </c>
      <c r="O65" s="27">
        <f t="shared" si="31"/>
        <v>0</v>
      </c>
      <c r="P65" s="26">
        <f t="shared" si="32"/>
        <v>986.96445192307692</v>
      </c>
      <c r="Q65" s="26">
        <f t="shared" si="33"/>
        <v>51322.1515</v>
      </c>
      <c r="R65" s="16">
        <f t="shared" si="34"/>
        <v>0.83349999999999225</v>
      </c>
      <c r="S65" s="26">
        <f t="shared" si="35"/>
        <v>64045.930714285714</v>
      </c>
      <c r="T65" s="27">
        <f t="shared" si="36"/>
        <v>60</v>
      </c>
      <c r="U65" s="26">
        <f t="shared" si="1"/>
        <v>926.96445192307692</v>
      </c>
      <c r="V65" s="16">
        <f t="shared" si="58"/>
        <v>0.83349999999999225</v>
      </c>
      <c r="W65" s="28">
        <f t="shared" si="2"/>
        <v>511.65</v>
      </c>
      <c r="X65" s="29">
        <f t="shared" si="37"/>
        <v>27</v>
      </c>
      <c r="Y65" s="29">
        <f t="shared" si="38"/>
        <v>161</v>
      </c>
      <c r="Z65" s="29">
        <f t="shared" si="39"/>
        <v>188</v>
      </c>
      <c r="AA65" s="28">
        <f t="shared" si="40"/>
        <v>323.64999999999998</v>
      </c>
      <c r="AB65" s="28">
        <f t="shared" si="41"/>
        <v>127.91249999999999</v>
      </c>
      <c r="AC65" s="28">
        <f t="shared" si="3"/>
        <v>172.08750000000001</v>
      </c>
      <c r="AD65" s="28">
        <f t="shared" si="42"/>
        <v>129.06562500000001</v>
      </c>
      <c r="AE65" s="13">
        <f t="shared" si="4"/>
        <v>129.06562500000001</v>
      </c>
      <c r="AF65" s="13">
        <f t="shared" si="5"/>
        <v>0</v>
      </c>
      <c r="AG65" s="13">
        <f t="shared" si="43"/>
        <v>129.06562500000001</v>
      </c>
      <c r="AH65" s="28">
        <f t="shared" si="6"/>
        <v>231.81</v>
      </c>
      <c r="AI65" s="13">
        <f t="shared" si="7"/>
        <v>171.64999999999998</v>
      </c>
      <c r="AJ65" s="28">
        <f t="shared" si="8"/>
        <v>46.345499999999994</v>
      </c>
      <c r="AK65" s="13">
        <f t="shared" si="44"/>
        <v>185.46450000000002</v>
      </c>
      <c r="AL65" s="47">
        <f t="shared" si="45"/>
        <v>20</v>
      </c>
      <c r="AM65" s="13" t="str">
        <f t="shared" si="46"/>
        <v>N</v>
      </c>
      <c r="AN65" s="13">
        <f t="shared" si="47"/>
        <v>0</v>
      </c>
      <c r="AO65" s="13" t="str">
        <f t="shared" si="48"/>
        <v>N</v>
      </c>
      <c r="AP65" s="13">
        <f t="shared" si="49"/>
        <v>72.5</v>
      </c>
      <c r="AQ65" s="13">
        <f t="shared" si="50"/>
        <v>0</v>
      </c>
      <c r="AR65" s="13">
        <f t="shared" si="51"/>
        <v>0</v>
      </c>
      <c r="AS65" s="9">
        <f t="shared" si="9"/>
        <v>2</v>
      </c>
      <c r="AT65" s="9">
        <f t="shared" si="10"/>
        <v>20</v>
      </c>
      <c r="AU65" s="9">
        <f t="shared" si="11"/>
        <v>0</v>
      </c>
      <c r="AV65" s="13">
        <f t="shared" si="12"/>
        <v>5.69</v>
      </c>
      <c r="AW65" s="13">
        <f t="shared" si="13"/>
        <v>0</v>
      </c>
      <c r="AX65" s="9">
        <f t="shared" si="14"/>
        <v>1</v>
      </c>
      <c r="AY65" s="9">
        <f t="shared" si="15"/>
        <v>0</v>
      </c>
      <c r="AZ65" s="28">
        <f t="shared" si="52"/>
        <v>0</v>
      </c>
      <c r="BA65" s="9">
        <f t="shared" si="16"/>
        <v>1</v>
      </c>
      <c r="BB65" s="9">
        <f t="shared" si="17"/>
        <v>0</v>
      </c>
      <c r="BC65" s="28">
        <f t="shared" si="53"/>
        <v>0</v>
      </c>
      <c r="BD65" s="28">
        <f t="shared" si="54"/>
        <v>0</v>
      </c>
      <c r="BE65" s="13">
        <f t="shared" si="55"/>
        <v>60</v>
      </c>
      <c r="BF65" s="13">
        <f t="shared" si="18"/>
        <v>0</v>
      </c>
      <c r="BG65" s="28">
        <f t="shared" si="56"/>
        <v>60</v>
      </c>
    </row>
    <row r="66" spans="1:59" x14ac:dyDescent="0.2">
      <c r="A66" s="8">
        <f t="shared" si="57"/>
        <v>25</v>
      </c>
      <c r="B66" s="26">
        <f t="shared" si="0"/>
        <v>500</v>
      </c>
      <c r="C66" s="26">
        <f t="shared" si="19"/>
        <v>0</v>
      </c>
      <c r="D66" s="26">
        <f t="shared" si="20"/>
        <v>500</v>
      </c>
      <c r="E66" s="27">
        <f t="shared" si="21"/>
        <v>309.64999999999998</v>
      </c>
      <c r="F66" s="26">
        <f t="shared" si="22"/>
        <v>809.65</v>
      </c>
      <c r="G66" s="26">
        <f t="shared" si="23"/>
        <v>42101.799999999996</v>
      </c>
      <c r="H66" s="26">
        <f t="shared" si="24"/>
        <v>6877.8149999999987</v>
      </c>
      <c r="I66" s="26">
        <f t="shared" si="25"/>
        <v>35223.985000000001</v>
      </c>
      <c r="J66" s="26">
        <f t="shared" si="26"/>
        <v>677.38432692307697</v>
      </c>
      <c r="K66" s="26">
        <f t="shared" si="27"/>
        <v>418.31922863155501</v>
      </c>
      <c r="L66" s="26">
        <f t="shared" si="28"/>
        <v>259.06509829152202</v>
      </c>
      <c r="M66" s="26">
        <f t="shared" si="29"/>
        <v>129.06562500000001</v>
      </c>
      <c r="N66" s="27">
        <f t="shared" si="30"/>
        <v>183.84450000000001</v>
      </c>
      <c r="O66" s="27">
        <f t="shared" si="31"/>
        <v>0</v>
      </c>
      <c r="P66" s="26">
        <f t="shared" si="32"/>
        <v>990.29445192307696</v>
      </c>
      <c r="Q66" s="26">
        <f t="shared" si="33"/>
        <v>51495.311500000003</v>
      </c>
      <c r="R66" s="16">
        <f t="shared" si="34"/>
        <v>0.83349999999999791</v>
      </c>
      <c r="S66" s="26">
        <f t="shared" si="35"/>
        <v>64293.302142857152</v>
      </c>
      <c r="T66" s="27">
        <f t="shared" si="36"/>
        <v>60</v>
      </c>
      <c r="U66" s="26">
        <f t="shared" si="1"/>
        <v>930.29445192307696</v>
      </c>
      <c r="V66" s="16">
        <f t="shared" si="58"/>
        <v>0.83349999999999791</v>
      </c>
      <c r="W66" s="28">
        <f t="shared" si="2"/>
        <v>511.65</v>
      </c>
      <c r="X66" s="29">
        <f t="shared" si="37"/>
        <v>27</v>
      </c>
      <c r="Y66" s="29">
        <f t="shared" si="38"/>
        <v>175</v>
      </c>
      <c r="Z66" s="29">
        <f t="shared" si="39"/>
        <v>202</v>
      </c>
      <c r="AA66" s="28">
        <f t="shared" si="40"/>
        <v>309.64999999999998</v>
      </c>
      <c r="AB66" s="28">
        <f t="shared" si="41"/>
        <v>127.91249999999999</v>
      </c>
      <c r="AC66" s="28">
        <f t="shared" si="3"/>
        <v>172.08750000000001</v>
      </c>
      <c r="AD66" s="28">
        <f t="shared" si="42"/>
        <v>129.06562500000001</v>
      </c>
      <c r="AE66" s="13">
        <f t="shared" si="4"/>
        <v>129.06562500000001</v>
      </c>
      <c r="AF66" s="13">
        <f t="shared" si="5"/>
        <v>0</v>
      </c>
      <c r="AG66" s="13">
        <f t="shared" si="43"/>
        <v>129.06562500000001</v>
      </c>
      <c r="AH66" s="28">
        <f t="shared" si="6"/>
        <v>231.81</v>
      </c>
      <c r="AI66" s="13">
        <f t="shared" si="7"/>
        <v>177.64999999999998</v>
      </c>
      <c r="AJ66" s="28">
        <f t="shared" si="8"/>
        <v>47.965499999999999</v>
      </c>
      <c r="AK66" s="13">
        <f t="shared" si="44"/>
        <v>183.84450000000001</v>
      </c>
      <c r="AL66" s="47">
        <f t="shared" si="45"/>
        <v>20</v>
      </c>
      <c r="AM66" s="13" t="str">
        <f t="shared" si="46"/>
        <v>N</v>
      </c>
      <c r="AN66" s="13">
        <f t="shared" si="47"/>
        <v>0</v>
      </c>
      <c r="AO66" s="13" t="str">
        <f t="shared" si="48"/>
        <v>N</v>
      </c>
      <c r="AP66" s="13">
        <f t="shared" si="49"/>
        <v>72.5</v>
      </c>
      <c r="AQ66" s="13">
        <f t="shared" si="50"/>
        <v>0</v>
      </c>
      <c r="AR66" s="13">
        <f t="shared" si="51"/>
        <v>0</v>
      </c>
      <c r="AS66" s="9">
        <f t="shared" si="9"/>
        <v>2</v>
      </c>
      <c r="AT66" s="9">
        <f t="shared" si="10"/>
        <v>20</v>
      </c>
      <c r="AU66" s="9">
        <f t="shared" si="11"/>
        <v>0</v>
      </c>
      <c r="AV66" s="13">
        <f t="shared" si="12"/>
        <v>5.69</v>
      </c>
      <c r="AW66" s="13">
        <f t="shared" si="13"/>
        <v>0</v>
      </c>
      <c r="AX66" s="9">
        <f t="shared" si="14"/>
        <v>1</v>
      </c>
      <c r="AY66" s="9">
        <f t="shared" si="15"/>
        <v>0</v>
      </c>
      <c r="AZ66" s="28">
        <f t="shared" si="52"/>
        <v>0</v>
      </c>
      <c r="BA66" s="9">
        <f t="shared" si="16"/>
        <v>1</v>
      </c>
      <c r="BB66" s="9">
        <f t="shared" si="17"/>
        <v>0</v>
      </c>
      <c r="BC66" s="28">
        <f t="shared" si="53"/>
        <v>0</v>
      </c>
      <c r="BD66" s="28">
        <f t="shared" si="54"/>
        <v>0</v>
      </c>
      <c r="BE66" s="13">
        <f t="shared" si="55"/>
        <v>60</v>
      </c>
      <c r="BF66" s="13">
        <f t="shared" si="18"/>
        <v>0</v>
      </c>
      <c r="BG66" s="28">
        <f t="shared" si="56"/>
        <v>60</v>
      </c>
    </row>
    <row r="67" spans="1:59" x14ac:dyDescent="0.2">
      <c r="A67" s="8">
        <f t="shared" si="57"/>
        <v>26</v>
      </c>
      <c r="B67" s="26">
        <f t="shared" si="0"/>
        <v>520</v>
      </c>
      <c r="C67" s="26">
        <f t="shared" si="19"/>
        <v>0</v>
      </c>
      <c r="D67" s="26">
        <f t="shared" si="20"/>
        <v>520</v>
      </c>
      <c r="E67" s="27">
        <f t="shared" si="21"/>
        <v>295.64999999999998</v>
      </c>
      <c r="F67" s="26">
        <f t="shared" si="22"/>
        <v>815.65</v>
      </c>
      <c r="G67" s="26">
        <f t="shared" si="23"/>
        <v>42413.799999999996</v>
      </c>
      <c r="H67" s="26">
        <f t="shared" si="24"/>
        <v>6932.4149999999991</v>
      </c>
      <c r="I67" s="26">
        <f t="shared" si="25"/>
        <v>35481.384999999995</v>
      </c>
      <c r="J67" s="26">
        <f t="shared" si="26"/>
        <v>682.33432692307679</v>
      </c>
      <c r="K67" s="26">
        <f t="shared" si="27"/>
        <v>435.0074786979709</v>
      </c>
      <c r="L67" s="26">
        <f t="shared" si="28"/>
        <v>247.32684822510592</v>
      </c>
      <c r="M67" s="26">
        <f t="shared" si="29"/>
        <v>129.06562500000001</v>
      </c>
      <c r="N67" s="27">
        <f t="shared" si="30"/>
        <v>182.22450000000001</v>
      </c>
      <c r="O67" s="27">
        <f t="shared" si="31"/>
        <v>0</v>
      </c>
      <c r="P67" s="26">
        <f t="shared" si="32"/>
        <v>993.62445192307678</v>
      </c>
      <c r="Q67" s="26">
        <f t="shared" si="33"/>
        <v>51668.471499999992</v>
      </c>
      <c r="R67" s="16">
        <f t="shared" si="34"/>
        <v>0.83350000000000934</v>
      </c>
      <c r="S67" s="26">
        <f t="shared" si="35"/>
        <v>64540.673571428561</v>
      </c>
      <c r="T67" s="27">
        <f t="shared" si="36"/>
        <v>60</v>
      </c>
      <c r="U67" s="26">
        <f t="shared" si="1"/>
        <v>933.62445192307678</v>
      </c>
      <c r="V67" s="16">
        <f t="shared" si="58"/>
        <v>0.83350000000000934</v>
      </c>
      <c r="W67" s="28">
        <f t="shared" si="2"/>
        <v>511.65</v>
      </c>
      <c r="X67" s="29">
        <f t="shared" si="37"/>
        <v>27</v>
      </c>
      <c r="Y67" s="29">
        <f t="shared" si="38"/>
        <v>189</v>
      </c>
      <c r="Z67" s="29">
        <f t="shared" si="39"/>
        <v>216</v>
      </c>
      <c r="AA67" s="28">
        <f t="shared" si="40"/>
        <v>295.64999999999998</v>
      </c>
      <c r="AB67" s="28">
        <f t="shared" si="41"/>
        <v>127.91249999999999</v>
      </c>
      <c r="AC67" s="28">
        <f t="shared" si="3"/>
        <v>172.08750000000001</v>
      </c>
      <c r="AD67" s="28">
        <f t="shared" si="42"/>
        <v>129.06562500000001</v>
      </c>
      <c r="AE67" s="13">
        <f t="shared" si="4"/>
        <v>129.06562500000001</v>
      </c>
      <c r="AF67" s="13">
        <f t="shared" si="5"/>
        <v>0</v>
      </c>
      <c r="AG67" s="13">
        <f t="shared" si="43"/>
        <v>129.06562500000001</v>
      </c>
      <c r="AH67" s="28">
        <f t="shared" si="6"/>
        <v>231.81</v>
      </c>
      <c r="AI67" s="13">
        <f t="shared" si="7"/>
        <v>183.64999999999998</v>
      </c>
      <c r="AJ67" s="28">
        <f t="shared" si="8"/>
        <v>49.585499999999996</v>
      </c>
      <c r="AK67" s="13">
        <f t="shared" si="44"/>
        <v>182.22450000000001</v>
      </c>
      <c r="AL67" s="47">
        <f t="shared" si="45"/>
        <v>20</v>
      </c>
      <c r="AM67" s="13" t="str">
        <f t="shared" si="46"/>
        <v>N</v>
      </c>
      <c r="AN67" s="13">
        <f t="shared" si="47"/>
        <v>0</v>
      </c>
      <c r="AO67" s="13" t="str">
        <f t="shared" si="48"/>
        <v>N</v>
      </c>
      <c r="AP67" s="13">
        <f t="shared" si="49"/>
        <v>72.5</v>
      </c>
      <c r="AQ67" s="13">
        <f t="shared" si="50"/>
        <v>0</v>
      </c>
      <c r="AR67" s="13">
        <f t="shared" si="51"/>
        <v>0</v>
      </c>
      <c r="AS67" s="9">
        <f t="shared" si="9"/>
        <v>2</v>
      </c>
      <c r="AT67" s="9">
        <f t="shared" si="10"/>
        <v>20</v>
      </c>
      <c r="AU67" s="9">
        <f t="shared" si="11"/>
        <v>0</v>
      </c>
      <c r="AV67" s="13">
        <f t="shared" si="12"/>
        <v>5.69</v>
      </c>
      <c r="AW67" s="13">
        <f t="shared" si="13"/>
        <v>0</v>
      </c>
      <c r="AX67" s="9">
        <f t="shared" si="14"/>
        <v>1</v>
      </c>
      <c r="AY67" s="9">
        <f t="shared" si="15"/>
        <v>0</v>
      </c>
      <c r="AZ67" s="28">
        <f t="shared" si="52"/>
        <v>0</v>
      </c>
      <c r="BA67" s="9">
        <f t="shared" si="16"/>
        <v>1</v>
      </c>
      <c r="BB67" s="9">
        <f t="shared" si="17"/>
        <v>0</v>
      </c>
      <c r="BC67" s="28">
        <f t="shared" si="53"/>
        <v>0</v>
      </c>
      <c r="BD67" s="28">
        <f t="shared" si="54"/>
        <v>0</v>
      </c>
      <c r="BE67" s="13">
        <f t="shared" si="55"/>
        <v>60</v>
      </c>
      <c r="BF67" s="13">
        <f t="shared" si="18"/>
        <v>0</v>
      </c>
      <c r="BG67" s="28">
        <f t="shared" si="56"/>
        <v>60</v>
      </c>
    </row>
    <row r="68" spans="1:59" x14ac:dyDescent="0.2">
      <c r="A68" s="8">
        <f t="shared" si="57"/>
        <v>27</v>
      </c>
      <c r="B68" s="26">
        <f t="shared" si="0"/>
        <v>540</v>
      </c>
      <c r="C68" s="26">
        <f t="shared" si="19"/>
        <v>0</v>
      </c>
      <c r="D68" s="26">
        <f t="shared" si="20"/>
        <v>540</v>
      </c>
      <c r="E68" s="27">
        <f t="shared" si="21"/>
        <v>281.64999999999998</v>
      </c>
      <c r="F68" s="26">
        <f t="shared" si="22"/>
        <v>821.65</v>
      </c>
      <c r="G68" s="26">
        <f t="shared" si="23"/>
        <v>42725.799999999996</v>
      </c>
      <c r="H68" s="26">
        <f t="shared" si="24"/>
        <v>6987.0149999999985</v>
      </c>
      <c r="I68" s="26">
        <f t="shared" si="25"/>
        <v>35738.784999999996</v>
      </c>
      <c r="J68" s="26">
        <f t="shared" si="26"/>
        <v>687.28432692307683</v>
      </c>
      <c r="K68" s="26">
        <f t="shared" si="27"/>
        <v>451.69297941758839</v>
      </c>
      <c r="L68" s="26">
        <f t="shared" si="28"/>
        <v>235.59134750548841</v>
      </c>
      <c r="M68" s="26">
        <f t="shared" si="29"/>
        <v>129.06562500000001</v>
      </c>
      <c r="N68" s="27">
        <f t="shared" si="30"/>
        <v>180.6045</v>
      </c>
      <c r="O68" s="27">
        <f t="shared" si="31"/>
        <v>0</v>
      </c>
      <c r="P68" s="26">
        <f t="shared" si="32"/>
        <v>996.95445192307682</v>
      </c>
      <c r="Q68" s="26">
        <f t="shared" si="33"/>
        <v>51841.631499999996</v>
      </c>
      <c r="R68" s="16">
        <f t="shared" si="34"/>
        <v>0.83349999999999791</v>
      </c>
      <c r="S68" s="26">
        <f t="shared" si="35"/>
        <v>64788.044999999998</v>
      </c>
      <c r="T68" s="27">
        <f t="shared" si="36"/>
        <v>60</v>
      </c>
      <c r="U68" s="26">
        <f t="shared" si="1"/>
        <v>936.95445192307682</v>
      </c>
      <c r="V68" s="16">
        <f t="shared" si="58"/>
        <v>0.83349999999999791</v>
      </c>
      <c r="W68" s="28">
        <f t="shared" si="2"/>
        <v>511.65</v>
      </c>
      <c r="X68" s="29">
        <f t="shared" si="37"/>
        <v>27</v>
      </c>
      <c r="Y68" s="29">
        <f t="shared" si="38"/>
        <v>203</v>
      </c>
      <c r="Z68" s="29">
        <f t="shared" si="39"/>
        <v>230</v>
      </c>
      <c r="AA68" s="28">
        <f t="shared" si="40"/>
        <v>281.64999999999998</v>
      </c>
      <c r="AB68" s="28">
        <f t="shared" si="41"/>
        <v>127.91249999999999</v>
      </c>
      <c r="AC68" s="28">
        <f t="shared" si="3"/>
        <v>172.08750000000001</v>
      </c>
      <c r="AD68" s="28">
        <f t="shared" si="42"/>
        <v>129.06562500000001</v>
      </c>
      <c r="AE68" s="13">
        <f t="shared" si="4"/>
        <v>129.06562500000001</v>
      </c>
      <c r="AF68" s="13">
        <f t="shared" si="5"/>
        <v>0</v>
      </c>
      <c r="AG68" s="13">
        <f t="shared" si="43"/>
        <v>129.06562500000001</v>
      </c>
      <c r="AH68" s="28">
        <f t="shared" si="6"/>
        <v>231.81</v>
      </c>
      <c r="AI68" s="13">
        <f t="shared" si="7"/>
        <v>189.64999999999998</v>
      </c>
      <c r="AJ68" s="28">
        <f t="shared" si="8"/>
        <v>51.205500000000001</v>
      </c>
      <c r="AK68" s="13">
        <f t="shared" si="44"/>
        <v>180.6045</v>
      </c>
      <c r="AL68" s="47">
        <f t="shared" si="45"/>
        <v>20</v>
      </c>
      <c r="AM68" s="13" t="str">
        <f t="shared" si="46"/>
        <v>N</v>
      </c>
      <c r="AN68" s="13">
        <f t="shared" si="47"/>
        <v>0</v>
      </c>
      <c r="AO68" s="13" t="str">
        <f t="shared" si="48"/>
        <v>N</v>
      </c>
      <c r="AP68" s="13">
        <f t="shared" si="49"/>
        <v>72.5</v>
      </c>
      <c r="AQ68" s="13">
        <f t="shared" si="50"/>
        <v>0</v>
      </c>
      <c r="AR68" s="13">
        <f t="shared" si="51"/>
        <v>0</v>
      </c>
      <c r="AS68" s="9">
        <f t="shared" si="9"/>
        <v>2</v>
      </c>
      <c r="AT68" s="9">
        <f t="shared" si="10"/>
        <v>20</v>
      </c>
      <c r="AU68" s="9">
        <f t="shared" si="11"/>
        <v>0</v>
      </c>
      <c r="AV68" s="13">
        <f t="shared" si="12"/>
        <v>5.69</v>
      </c>
      <c r="AW68" s="13">
        <f t="shared" si="13"/>
        <v>0</v>
      </c>
      <c r="AX68" s="9">
        <f t="shared" si="14"/>
        <v>1</v>
      </c>
      <c r="AY68" s="9">
        <f t="shared" si="15"/>
        <v>0</v>
      </c>
      <c r="AZ68" s="28">
        <f t="shared" si="52"/>
        <v>0</v>
      </c>
      <c r="BA68" s="9">
        <f t="shared" si="16"/>
        <v>1</v>
      </c>
      <c r="BB68" s="9">
        <f t="shared" si="17"/>
        <v>0</v>
      </c>
      <c r="BC68" s="28">
        <f t="shared" si="53"/>
        <v>0</v>
      </c>
      <c r="BD68" s="28">
        <f t="shared" si="54"/>
        <v>0</v>
      </c>
      <c r="BE68" s="13">
        <f t="shared" si="55"/>
        <v>60</v>
      </c>
      <c r="BF68" s="13">
        <f t="shared" si="18"/>
        <v>0</v>
      </c>
      <c r="BG68" s="28">
        <f t="shared" si="56"/>
        <v>60</v>
      </c>
    </row>
    <row r="69" spans="1:59" x14ac:dyDescent="0.2">
      <c r="A69" s="8">
        <f t="shared" si="57"/>
        <v>28</v>
      </c>
      <c r="B69" s="26">
        <f t="shared" si="0"/>
        <v>560</v>
      </c>
      <c r="C69" s="26">
        <f t="shared" si="19"/>
        <v>0</v>
      </c>
      <c r="D69" s="26">
        <f t="shared" si="20"/>
        <v>560</v>
      </c>
      <c r="E69" s="27">
        <f t="shared" si="21"/>
        <v>267.64999999999998</v>
      </c>
      <c r="F69" s="26">
        <f t="shared" si="22"/>
        <v>827.65</v>
      </c>
      <c r="G69" s="26">
        <f t="shared" si="23"/>
        <v>43037.799999999996</v>
      </c>
      <c r="H69" s="26">
        <f t="shared" si="24"/>
        <v>7041.6149999999989</v>
      </c>
      <c r="I69" s="26">
        <f t="shared" si="25"/>
        <v>35996.184999999998</v>
      </c>
      <c r="J69" s="26">
        <f t="shared" si="26"/>
        <v>692.23432692307688</v>
      </c>
      <c r="K69" s="26">
        <f t="shared" si="27"/>
        <v>468.37579058409119</v>
      </c>
      <c r="L69" s="26">
        <f t="shared" si="28"/>
        <v>223.85853633898572</v>
      </c>
      <c r="M69" s="26">
        <f t="shared" si="29"/>
        <v>129.06562500000001</v>
      </c>
      <c r="N69" s="27">
        <f t="shared" si="30"/>
        <v>178.9845</v>
      </c>
      <c r="O69" s="27">
        <f t="shared" si="31"/>
        <v>0</v>
      </c>
      <c r="P69" s="26">
        <f t="shared" si="32"/>
        <v>1000.2844519230769</v>
      </c>
      <c r="Q69" s="26">
        <f t="shared" si="33"/>
        <v>52014.791499999999</v>
      </c>
      <c r="R69" s="16">
        <f t="shared" si="34"/>
        <v>0.83349999999999791</v>
      </c>
      <c r="S69" s="26">
        <f t="shared" si="35"/>
        <v>65035.416428571429</v>
      </c>
      <c r="T69" s="27">
        <f t="shared" si="36"/>
        <v>60</v>
      </c>
      <c r="U69" s="26">
        <f t="shared" si="1"/>
        <v>940.28445192307686</v>
      </c>
      <c r="V69" s="16">
        <f t="shared" si="58"/>
        <v>0.83349999999999791</v>
      </c>
      <c r="W69" s="28">
        <f t="shared" si="2"/>
        <v>511.65</v>
      </c>
      <c r="X69" s="29">
        <f t="shared" si="37"/>
        <v>27</v>
      </c>
      <c r="Y69" s="29">
        <f t="shared" si="38"/>
        <v>217</v>
      </c>
      <c r="Z69" s="29">
        <f t="shared" si="39"/>
        <v>244</v>
      </c>
      <c r="AA69" s="28">
        <f t="shared" si="40"/>
        <v>267.64999999999998</v>
      </c>
      <c r="AB69" s="28">
        <f t="shared" si="41"/>
        <v>127.91249999999999</v>
      </c>
      <c r="AC69" s="28">
        <f t="shared" si="3"/>
        <v>172.08750000000001</v>
      </c>
      <c r="AD69" s="28">
        <f t="shared" si="42"/>
        <v>129.06562500000001</v>
      </c>
      <c r="AE69" s="13">
        <f t="shared" si="4"/>
        <v>129.06562500000001</v>
      </c>
      <c r="AF69" s="13">
        <f t="shared" si="5"/>
        <v>0</v>
      </c>
      <c r="AG69" s="13">
        <f t="shared" si="43"/>
        <v>129.06562500000001</v>
      </c>
      <c r="AH69" s="28">
        <f t="shared" si="6"/>
        <v>231.81</v>
      </c>
      <c r="AI69" s="13">
        <f t="shared" si="7"/>
        <v>195.64999999999998</v>
      </c>
      <c r="AJ69" s="28">
        <f t="shared" si="8"/>
        <v>52.825499999999998</v>
      </c>
      <c r="AK69" s="13">
        <f t="shared" si="44"/>
        <v>178.9845</v>
      </c>
      <c r="AL69" s="47">
        <f t="shared" si="45"/>
        <v>20</v>
      </c>
      <c r="AM69" s="13" t="str">
        <f t="shared" si="46"/>
        <v>N</v>
      </c>
      <c r="AN69" s="13">
        <f t="shared" si="47"/>
        <v>0</v>
      </c>
      <c r="AO69" s="13" t="str">
        <f t="shared" si="48"/>
        <v>N</v>
      </c>
      <c r="AP69" s="13">
        <f t="shared" si="49"/>
        <v>72.5</v>
      </c>
      <c r="AQ69" s="13">
        <f t="shared" si="50"/>
        <v>0</v>
      </c>
      <c r="AR69" s="13">
        <f t="shared" si="51"/>
        <v>0</v>
      </c>
      <c r="AS69" s="9">
        <f t="shared" si="9"/>
        <v>2</v>
      </c>
      <c r="AT69" s="9">
        <f t="shared" si="10"/>
        <v>20</v>
      </c>
      <c r="AU69" s="9">
        <f t="shared" si="11"/>
        <v>0</v>
      </c>
      <c r="AV69" s="13">
        <f t="shared" si="12"/>
        <v>5.69</v>
      </c>
      <c r="AW69" s="13">
        <f t="shared" si="13"/>
        <v>0</v>
      </c>
      <c r="AX69" s="9">
        <f t="shared" si="14"/>
        <v>1</v>
      </c>
      <c r="AY69" s="9">
        <f t="shared" si="15"/>
        <v>0</v>
      </c>
      <c r="AZ69" s="28">
        <f t="shared" si="52"/>
        <v>0</v>
      </c>
      <c r="BA69" s="9">
        <f t="shared" si="16"/>
        <v>1</v>
      </c>
      <c r="BB69" s="9">
        <f t="shared" si="17"/>
        <v>0</v>
      </c>
      <c r="BC69" s="28">
        <f t="shared" si="53"/>
        <v>0</v>
      </c>
      <c r="BD69" s="28">
        <f t="shared" si="54"/>
        <v>0</v>
      </c>
      <c r="BE69" s="13">
        <f t="shared" si="55"/>
        <v>60</v>
      </c>
      <c r="BF69" s="13">
        <f t="shared" si="18"/>
        <v>0</v>
      </c>
      <c r="BG69" s="28">
        <f t="shared" si="56"/>
        <v>60</v>
      </c>
    </row>
    <row r="70" spans="1:59" x14ac:dyDescent="0.2">
      <c r="A70" s="8">
        <f t="shared" si="57"/>
        <v>29</v>
      </c>
      <c r="B70" s="26">
        <f t="shared" si="0"/>
        <v>580</v>
      </c>
      <c r="C70" s="26">
        <f t="shared" si="19"/>
        <v>0</v>
      </c>
      <c r="D70" s="26">
        <f t="shared" si="20"/>
        <v>580</v>
      </c>
      <c r="E70" s="27">
        <f t="shared" si="21"/>
        <v>253.64999999999998</v>
      </c>
      <c r="F70" s="26">
        <f t="shared" si="22"/>
        <v>833.65</v>
      </c>
      <c r="G70" s="26">
        <f t="shared" si="23"/>
        <v>43349.799999999996</v>
      </c>
      <c r="H70" s="26">
        <f t="shared" si="24"/>
        <v>7096.2149999999992</v>
      </c>
      <c r="I70" s="26">
        <f t="shared" si="25"/>
        <v>36253.584999999999</v>
      </c>
      <c r="J70" s="26">
        <f t="shared" si="26"/>
        <v>697.18432692307692</v>
      </c>
      <c r="K70" s="26">
        <f t="shared" si="27"/>
        <v>485.05597026975909</v>
      </c>
      <c r="L70" s="26">
        <f t="shared" si="28"/>
        <v>212.12835665331789</v>
      </c>
      <c r="M70" s="26">
        <f t="shared" si="29"/>
        <v>129.06562500000001</v>
      </c>
      <c r="N70" s="27">
        <f t="shared" si="30"/>
        <v>177.36450000000002</v>
      </c>
      <c r="O70" s="27">
        <f t="shared" si="31"/>
        <v>0</v>
      </c>
      <c r="P70" s="26">
        <f t="shared" si="32"/>
        <v>1003.6144519230769</v>
      </c>
      <c r="Q70" s="26">
        <f t="shared" si="33"/>
        <v>52187.951499999996</v>
      </c>
      <c r="R70" s="16">
        <f t="shared" si="34"/>
        <v>0.83349999999999791</v>
      </c>
      <c r="S70" s="26">
        <f t="shared" si="35"/>
        <v>65282.787857142852</v>
      </c>
      <c r="T70" s="27">
        <f t="shared" si="36"/>
        <v>60</v>
      </c>
      <c r="U70" s="26">
        <f t="shared" si="1"/>
        <v>943.6144519230769</v>
      </c>
      <c r="V70" s="16">
        <f t="shared" si="58"/>
        <v>0.83349999999999791</v>
      </c>
      <c r="W70" s="28">
        <f t="shared" si="2"/>
        <v>511.65</v>
      </c>
      <c r="X70" s="29">
        <f t="shared" si="37"/>
        <v>27</v>
      </c>
      <c r="Y70" s="29">
        <f t="shared" si="38"/>
        <v>230.99999999999997</v>
      </c>
      <c r="Z70" s="29">
        <f t="shared" si="39"/>
        <v>258</v>
      </c>
      <c r="AA70" s="28">
        <f t="shared" si="40"/>
        <v>253.64999999999998</v>
      </c>
      <c r="AB70" s="28">
        <f t="shared" si="41"/>
        <v>127.91249999999999</v>
      </c>
      <c r="AC70" s="28">
        <f t="shared" si="3"/>
        <v>172.08750000000001</v>
      </c>
      <c r="AD70" s="28">
        <f t="shared" si="42"/>
        <v>129.06562500000001</v>
      </c>
      <c r="AE70" s="13">
        <f t="shared" si="4"/>
        <v>129.06562500000001</v>
      </c>
      <c r="AF70" s="13">
        <f t="shared" si="5"/>
        <v>0</v>
      </c>
      <c r="AG70" s="13">
        <f t="shared" si="43"/>
        <v>129.06562500000001</v>
      </c>
      <c r="AH70" s="28">
        <f t="shared" si="6"/>
        <v>231.81</v>
      </c>
      <c r="AI70" s="13">
        <f t="shared" si="7"/>
        <v>201.64999999999998</v>
      </c>
      <c r="AJ70" s="28">
        <f t="shared" si="8"/>
        <v>54.445499999999996</v>
      </c>
      <c r="AK70" s="13">
        <f t="shared" si="44"/>
        <v>177.36450000000002</v>
      </c>
      <c r="AL70" s="47">
        <f t="shared" si="45"/>
        <v>20</v>
      </c>
      <c r="AM70" s="13" t="str">
        <f t="shared" si="46"/>
        <v>N</v>
      </c>
      <c r="AN70" s="13">
        <f t="shared" si="47"/>
        <v>0</v>
      </c>
      <c r="AO70" s="13" t="str">
        <f t="shared" si="48"/>
        <v>N</v>
      </c>
      <c r="AP70" s="13">
        <f t="shared" si="49"/>
        <v>72.5</v>
      </c>
      <c r="AQ70" s="13">
        <f t="shared" si="50"/>
        <v>0</v>
      </c>
      <c r="AR70" s="13">
        <f t="shared" si="51"/>
        <v>0</v>
      </c>
      <c r="AS70" s="9">
        <f t="shared" si="9"/>
        <v>2</v>
      </c>
      <c r="AT70" s="9">
        <f t="shared" si="10"/>
        <v>20</v>
      </c>
      <c r="AU70" s="9">
        <f t="shared" si="11"/>
        <v>0</v>
      </c>
      <c r="AV70" s="13">
        <f t="shared" si="12"/>
        <v>5.69</v>
      </c>
      <c r="AW70" s="13">
        <f t="shared" si="13"/>
        <v>0</v>
      </c>
      <c r="AX70" s="9">
        <f t="shared" si="14"/>
        <v>1</v>
      </c>
      <c r="AY70" s="9">
        <f t="shared" si="15"/>
        <v>0</v>
      </c>
      <c r="AZ70" s="28">
        <f t="shared" si="52"/>
        <v>0</v>
      </c>
      <c r="BA70" s="9">
        <f t="shared" si="16"/>
        <v>1</v>
      </c>
      <c r="BB70" s="9">
        <f t="shared" si="17"/>
        <v>0</v>
      </c>
      <c r="BC70" s="28">
        <f t="shared" si="53"/>
        <v>0</v>
      </c>
      <c r="BD70" s="28">
        <f t="shared" si="54"/>
        <v>0</v>
      </c>
      <c r="BE70" s="13">
        <f t="shared" si="55"/>
        <v>60</v>
      </c>
      <c r="BF70" s="13">
        <f t="shared" si="18"/>
        <v>0</v>
      </c>
      <c r="BG70" s="28">
        <f t="shared" si="56"/>
        <v>60</v>
      </c>
    </row>
    <row r="71" spans="1:59" x14ac:dyDescent="0.2">
      <c r="A71" s="8">
        <f t="shared" si="57"/>
        <v>30</v>
      </c>
      <c r="B71" s="26">
        <f t="shared" si="0"/>
        <v>600</v>
      </c>
      <c r="C71" s="26">
        <f t="shared" si="19"/>
        <v>0</v>
      </c>
      <c r="D71" s="26">
        <f t="shared" si="20"/>
        <v>600</v>
      </c>
      <c r="E71" s="27">
        <f t="shared" si="21"/>
        <v>239.64999999999998</v>
      </c>
      <c r="F71" s="26">
        <f t="shared" si="22"/>
        <v>839.65</v>
      </c>
      <c r="G71" s="26">
        <f t="shared" si="23"/>
        <v>43661.799999999996</v>
      </c>
      <c r="H71" s="26">
        <f t="shared" si="24"/>
        <v>7150.8149999999987</v>
      </c>
      <c r="I71" s="26">
        <f t="shared" si="25"/>
        <v>36510.985000000001</v>
      </c>
      <c r="J71" s="26">
        <f t="shared" si="26"/>
        <v>702.13432692307697</v>
      </c>
      <c r="K71" s="26">
        <f t="shared" si="27"/>
        <v>501.73357488697218</v>
      </c>
      <c r="L71" s="26">
        <f t="shared" si="28"/>
        <v>200.40075203610479</v>
      </c>
      <c r="M71" s="26">
        <f t="shared" si="29"/>
        <v>129.06562500000001</v>
      </c>
      <c r="N71" s="27">
        <f t="shared" si="30"/>
        <v>175.74450000000002</v>
      </c>
      <c r="O71" s="27">
        <f t="shared" si="31"/>
        <v>0</v>
      </c>
      <c r="P71" s="26">
        <f t="shared" si="32"/>
        <v>1006.9444519230769</v>
      </c>
      <c r="Q71" s="26">
        <f t="shared" si="33"/>
        <v>52361.111499999999</v>
      </c>
      <c r="R71" s="16">
        <f t="shared" si="34"/>
        <v>0.83349999999999791</v>
      </c>
      <c r="S71" s="26">
        <f t="shared" si="35"/>
        <v>65530.159285714282</v>
      </c>
      <c r="T71" s="27">
        <f t="shared" si="36"/>
        <v>60</v>
      </c>
      <c r="U71" s="26">
        <f t="shared" si="1"/>
        <v>946.94445192307694</v>
      </c>
      <c r="V71" s="16">
        <f t="shared" si="58"/>
        <v>0.83349999999999791</v>
      </c>
      <c r="W71" s="28">
        <f t="shared" si="2"/>
        <v>511.65</v>
      </c>
      <c r="X71" s="29">
        <f t="shared" si="37"/>
        <v>27</v>
      </c>
      <c r="Y71" s="29">
        <f t="shared" si="38"/>
        <v>244.99999999999997</v>
      </c>
      <c r="Z71" s="29">
        <f t="shared" si="39"/>
        <v>272</v>
      </c>
      <c r="AA71" s="28">
        <f t="shared" si="40"/>
        <v>239.64999999999998</v>
      </c>
      <c r="AB71" s="28">
        <f t="shared" si="41"/>
        <v>127.91249999999999</v>
      </c>
      <c r="AC71" s="28">
        <f t="shared" si="3"/>
        <v>172.08750000000001</v>
      </c>
      <c r="AD71" s="28">
        <f t="shared" si="42"/>
        <v>129.06562500000001</v>
      </c>
      <c r="AE71" s="13">
        <f t="shared" si="4"/>
        <v>129.06562500000001</v>
      </c>
      <c r="AF71" s="13">
        <f t="shared" si="5"/>
        <v>0</v>
      </c>
      <c r="AG71" s="13">
        <f t="shared" si="43"/>
        <v>129.06562500000001</v>
      </c>
      <c r="AH71" s="28">
        <f t="shared" si="6"/>
        <v>231.81</v>
      </c>
      <c r="AI71" s="13">
        <f t="shared" si="7"/>
        <v>207.64999999999998</v>
      </c>
      <c r="AJ71" s="28">
        <f t="shared" si="8"/>
        <v>56.0655</v>
      </c>
      <c r="AK71" s="13">
        <f t="shared" si="44"/>
        <v>175.74450000000002</v>
      </c>
      <c r="AL71" s="47">
        <f t="shared" si="45"/>
        <v>20</v>
      </c>
      <c r="AM71" s="13" t="str">
        <f t="shared" si="46"/>
        <v>N</v>
      </c>
      <c r="AN71" s="13">
        <f t="shared" si="47"/>
        <v>0</v>
      </c>
      <c r="AO71" s="13" t="str">
        <f t="shared" si="48"/>
        <v>N</v>
      </c>
      <c r="AP71" s="13">
        <f t="shared" si="49"/>
        <v>72.5</v>
      </c>
      <c r="AQ71" s="13">
        <f t="shared" si="50"/>
        <v>0</v>
      </c>
      <c r="AR71" s="13">
        <f t="shared" si="51"/>
        <v>0</v>
      </c>
      <c r="AS71" s="9">
        <f t="shared" si="9"/>
        <v>2</v>
      </c>
      <c r="AT71" s="9">
        <f t="shared" si="10"/>
        <v>20</v>
      </c>
      <c r="AU71" s="9">
        <f t="shared" si="11"/>
        <v>0</v>
      </c>
      <c r="AV71" s="13">
        <f t="shared" si="12"/>
        <v>5.69</v>
      </c>
      <c r="AW71" s="13">
        <f t="shared" si="13"/>
        <v>0</v>
      </c>
      <c r="AX71" s="9">
        <f t="shared" si="14"/>
        <v>1</v>
      </c>
      <c r="AY71" s="9">
        <f t="shared" si="15"/>
        <v>0</v>
      </c>
      <c r="AZ71" s="28">
        <f t="shared" si="52"/>
        <v>0</v>
      </c>
      <c r="BA71" s="9">
        <f t="shared" si="16"/>
        <v>1</v>
      </c>
      <c r="BB71" s="9">
        <f t="shared" si="17"/>
        <v>0</v>
      </c>
      <c r="BC71" s="28">
        <f t="shared" si="53"/>
        <v>0</v>
      </c>
      <c r="BD71" s="28">
        <f t="shared" si="54"/>
        <v>0</v>
      </c>
      <c r="BE71" s="13">
        <f t="shared" si="55"/>
        <v>60</v>
      </c>
      <c r="BF71" s="13">
        <f t="shared" si="18"/>
        <v>0</v>
      </c>
      <c r="BG71" s="28">
        <f t="shared" si="56"/>
        <v>60</v>
      </c>
    </row>
    <row r="72" spans="1:59" x14ac:dyDescent="0.2">
      <c r="A72" s="8">
        <f t="shared" si="57"/>
        <v>31</v>
      </c>
      <c r="B72" s="26">
        <f t="shared" si="0"/>
        <v>620</v>
      </c>
      <c r="C72" s="26">
        <f t="shared" si="19"/>
        <v>0</v>
      </c>
      <c r="D72" s="26">
        <f t="shared" si="20"/>
        <v>620</v>
      </c>
      <c r="E72" s="27">
        <f t="shared" si="21"/>
        <v>225.64999999999998</v>
      </c>
      <c r="F72" s="26">
        <f t="shared" si="22"/>
        <v>845.65</v>
      </c>
      <c r="G72" s="26">
        <f t="shared" si="23"/>
        <v>43973.799999999996</v>
      </c>
      <c r="H72" s="26">
        <f t="shared" si="24"/>
        <v>7205.4149999999991</v>
      </c>
      <c r="I72" s="26">
        <f t="shared" si="25"/>
        <v>36768.384999999995</v>
      </c>
      <c r="J72" s="26">
        <f t="shared" si="26"/>
        <v>707.08432692307679</v>
      </c>
      <c r="K72" s="26">
        <f t="shared" si="27"/>
        <v>518.40865924709703</v>
      </c>
      <c r="L72" s="26">
        <f t="shared" si="28"/>
        <v>188.67566767597975</v>
      </c>
      <c r="M72" s="26">
        <f t="shared" si="29"/>
        <v>129.06562500000001</v>
      </c>
      <c r="N72" s="27">
        <f t="shared" si="30"/>
        <v>174.12450000000001</v>
      </c>
      <c r="O72" s="27">
        <f t="shared" si="31"/>
        <v>0</v>
      </c>
      <c r="P72" s="26">
        <f t="shared" si="32"/>
        <v>1010.2744519230768</v>
      </c>
      <c r="Q72" s="26">
        <f t="shared" si="33"/>
        <v>52534.271499999988</v>
      </c>
      <c r="R72" s="16">
        <f t="shared" si="34"/>
        <v>0.83350000000000934</v>
      </c>
      <c r="S72" s="26">
        <f t="shared" si="35"/>
        <v>65777.530714285691</v>
      </c>
      <c r="T72" s="27">
        <f t="shared" si="36"/>
        <v>60</v>
      </c>
      <c r="U72" s="26">
        <f t="shared" si="1"/>
        <v>950.27445192307675</v>
      </c>
      <c r="V72" s="16">
        <f t="shared" si="58"/>
        <v>0.83350000000000934</v>
      </c>
      <c r="W72" s="28">
        <f t="shared" si="2"/>
        <v>511.65</v>
      </c>
      <c r="X72" s="29">
        <f t="shared" si="37"/>
        <v>27</v>
      </c>
      <c r="Y72" s="29">
        <f t="shared" si="38"/>
        <v>259</v>
      </c>
      <c r="Z72" s="29">
        <f t="shared" si="39"/>
        <v>286</v>
      </c>
      <c r="AA72" s="28">
        <f t="shared" si="40"/>
        <v>225.64999999999998</v>
      </c>
      <c r="AB72" s="28">
        <f t="shared" si="41"/>
        <v>127.91249999999999</v>
      </c>
      <c r="AC72" s="28">
        <f t="shared" si="3"/>
        <v>172.08750000000001</v>
      </c>
      <c r="AD72" s="28">
        <f t="shared" si="42"/>
        <v>129.06562500000001</v>
      </c>
      <c r="AE72" s="13">
        <f t="shared" si="4"/>
        <v>129.06562500000001</v>
      </c>
      <c r="AF72" s="13">
        <f t="shared" si="5"/>
        <v>0</v>
      </c>
      <c r="AG72" s="13">
        <f t="shared" si="43"/>
        <v>129.06562500000001</v>
      </c>
      <c r="AH72" s="28">
        <f t="shared" si="6"/>
        <v>231.81</v>
      </c>
      <c r="AI72" s="13">
        <f t="shared" si="7"/>
        <v>213.64999999999998</v>
      </c>
      <c r="AJ72" s="28">
        <f t="shared" si="8"/>
        <v>57.685499999999998</v>
      </c>
      <c r="AK72" s="13">
        <f t="shared" si="44"/>
        <v>174.12450000000001</v>
      </c>
      <c r="AL72" s="47">
        <f t="shared" si="45"/>
        <v>20</v>
      </c>
      <c r="AM72" s="13" t="str">
        <f t="shared" si="46"/>
        <v>N</v>
      </c>
      <c r="AN72" s="13">
        <f t="shared" si="47"/>
        <v>0</v>
      </c>
      <c r="AO72" s="13" t="str">
        <f t="shared" si="48"/>
        <v>N</v>
      </c>
      <c r="AP72" s="13">
        <f t="shared" si="49"/>
        <v>72.5</v>
      </c>
      <c r="AQ72" s="13">
        <f t="shared" si="50"/>
        <v>0</v>
      </c>
      <c r="AR72" s="13">
        <f t="shared" si="51"/>
        <v>0</v>
      </c>
      <c r="AS72" s="9">
        <f t="shared" si="9"/>
        <v>2</v>
      </c>
      <c r="AT72" s="9">
        <f t="shared" si="10"/>
        <v>20</v>
      </c>
      <c r="AU72" s="9">
        <f t="shared" si="11"/>
        <v>0</v>
      </c>
      <c r="AV72" s="13">
        <f t="shared" si="12"/>
        <v>5.69</v>
      </c>
      <c r="AW72" s="13">
        <f t="shared" si="13"/>
        <v>0</v>
      </c>
      <c r="AX72" s="9">
        <f t="shared" si="14"/>
        <v>1</v>
      </c>
      <c r="AY72" s="9">
        <f t="shared" si="15"/>
        <v>0</v>
      </c>
      <c r="AZ72" s="28">
        <f t="shared" si="52"/>
        <v>0</v>
      </c>
      <c r="BA72" s="9">
        <f t="shared" si="16"/>
        <v>1</v>
      </c>
      <c r="BB72" s="9">
        <f t="shared" si="17"/>
        <v>0</v>
      </c>
      <c r="BC72" s="28">
        <f t="shared" si="53"/>
        <v>0</v>
      </c>
      <c r="BD72" s="28">
        <f t="shared" si="54"/>
        <v>0</v>
      </c>
      <c r="BE72" s="13">
        <f t="shared" si="55"/>
        <v>60</v>
      </c>
      <c r="BF72" s="13">
        <f t="shared" si="18"/>
        <v>0</v>
      </c>
      <c r="BG72" s="28">
        <f t="shared" si="56"/>
        <v>60</v>
      </c>
    </row>
    <row r="73" spans="1:59" x14ac:dyDescent="0.2">
      <c r="A73" s="8">
        <f t="shared" si="57"/>
        <v>32</v>
      </c>
      <c r="B73" s="26">
        <f t="shared" si="0"/>
        <v>640</v>
      </c>
      <c r="C73" s="26">
        <f t="shared" si="19"/>
        <v>0</v>
      </c>
      <c r="D73" s="26">
        <f t="shared" si="20"/>
        <v>640</v>
      </c>
      <c r="E73" s="27">
        <f t="shared" si="21"/>
        <v>211.64999999999998</v>
      </c>
      <c r="F73" s="26">
        <f t="shared" si="22"/>
        <v>851.65</v>
      </c>
      <c r="G73" s="26">
        <f t="shared" si="23"/>
        <v>44285.799999999996</v>
      </c>
      <c r="H73" s="26">
        <f t="shared" si="24"/>
        <v>7260.0149999999985</v>
      </c>
      <c r="I73" s="26">
        <f t="shared" si="25"/>
        <v>37025.784999999996</v>
      </c>
      <c r="J73" s="26">
        <f t="shared" si="26"/>
        <v>712.03432692307683</v>
      </c>
      <c r="K73" s="26">
        <f t="shared" si="27"/>
        <v>535.08127661688388</v>
      </c>
      <c r="L73" s="26">
        <f t="shared" si="28"/>
        <v>176.95305030619292</v>
      </c>
      <c r="M73" s="26">
        <f t="shared" si="29"/>
        <v>129.06562500000001</v>
      </c>
      <c r="N73" s="27">
        <f t="shared" si="30"/>
        <v>172.50450000000001</v>
      </c>
      <c r="O73" s="27">
        <f t="shared" si="31"/>
        <v>0</v>
      </c>
      <c r="P73" s="26">
        <f t="shared" si="32"/>
        <v>1013.6044519230768</v>
      </c>
      <c r="Q73" s="26">
        <f t="shared" si="33"/>
        <v>52707.431499999992</v>
      </c>
      <c r="R73" s="16">
        <f t="shared" si="34"/>
        <v>0.83349999999999791</v>
      </c>
      <c r="S73" s="26">
        <f t="shared" si="35"/>
        <v>66024.902142857129</v>
      </c>
      <c r="T73" s="27">
        <f t="shared" si="36"/>
        <v>60</v>
      </c>
      <c r="U73" s="26">
        <f t="shared" si="1"/>
        <v>953.60445192307679</v>
      </c>
      <c r="V73" s="16">
        <f t="shared" si="58"/>
        <v>0.83349999999999791</v>
      </c>
      <c r="W73" s="28">
        <f t="shared" si="2"/>
        <v>511.65</v>
      </c>
      <c r="X73" s="29">
        <f t="shared" si="37"/>
        <v>27</v>
      </c>
      <c r="Y73" s="29">
        <f t="shared" si="38"/>
        <v>273</v>
      </c>
      <c r="Z73" s="29">
        <f t="shared" si="39"/>
        <v>300</v>
      </c>
      <c r="AA73" s="28">
        <f t="shared" si="40"/>
        <v>211.64999999999998</v>
      </c>
      <c r="AB73" s="28">
        <f t="shared" si="41"/>
        <v>127.91249999999999</v>
      </c>
      <c r="AC73" s="28">
        <f t="shared" si="3"/>
        <v>172.08750000000001</v>
      </c>
      <c r="AD73" s="28">
        <f t="shared" si="42"/>
        <v>129.06562500000001</v>
      </c>
      <c r="AE73" s="13">
        <f t="shared" si="4"/>
        <v>129.06562500000001</v>
      </c>
      <c r="AF73" s="13">
        <f t="shared" si="5"/>
        <v>0</v>
      </c>
      <c r="AG73" s="13">
        <f t="shared" si="43"/>
        <v>129.06562500000001</v>
      </c>
      <c r="AH73" s="28">
        <f t="shared" si="6"/>
        <v>231.81</v>
      </c>
      <c r="AI73" s="13">
        <f t="shared" si="7"/>
        <v>219.64999999999998</v>
      </c>
      <c r="AJ73" s="28">
        <f t="shared" si="8"/>
        <v>59.305499999999995</v>
      </c>
      <c r="AK73" s="13">
        <f t="shared" si="44"/>
        <v>172.50450000000001</v>
      </c>
      <c r="AL73" s="47">
        <f t="shared" si="45"/>
        <v>20</v>
      </c>
      <c r="AM73" s="13" t="str">
        <f t="shared" si="46"/>
        <v>N</v>
      </c>
      <c r="AN73" s="13">
        <f t="shared" si="47"/>
        <v>0</v>
      </c>
      <c r="AO73" s="13" t="str">
        <f t="shared" si="48"/>
        <v>N</v>
      </c>
      <c r="AP73" s="13">
        <f t="shared" si="49"/>
        <v>72.5</v>
      </c>
      <c r="AQ73" s="13">
        <f t="shared" si="50"/>
        <v>0</v>
      </c>
      <c r="AR73" s="13">
        <f t="shared" si="51"/>
        <v>0</v>
      </c>
      <c r="AS73" s="9">
        <f t="shared" si="9"/>
        <v>2</v>
      </c>
      <c r="AT73" s="9">
        <f t="shared" si="10"/>
        <v>20</v>
      </c>
      <c r="AU73" s="9">
        <f t="shared" si="11"/>
        <v>0</v>
      </c>
      <c r="AV73" s="13">
        <f t="shared" si="12"/>
        <v>5.69</v>
      </c>
      <c r="AW73" s="13">
        <f t="shared" si="13"/>
        <v>0</v>
      </c>
      <c r="AX73" s="9">
        <f t="shared" si="14"/>
        <v>1</v>
      </c>
      <c r="AY73" s="9">
        <f t="shared" si="15"/>
        <v>0</v>
      </c>
      <c r="AZ73" s="28">
        <f t="shared" si="52"/>
        <v>0</v>
      </c>
      <c r="BA73" s="9">
        <f t="shared" si="16"/>
        <v>1</v>
      </c>
      <c r="BB73" s="9">
        <f t="shared" si="17"/>
        <v>0</v>
      </c>
      <c r="BC73" s="28">
        <f t="shared" si="53"/>
        <v>0</v>
      </c>
      <c r="BD73" s="28">
        <f t="shared" si="54"/>
        <v>0</v>
      </c>
      <c r="BE73" s="13">
        <f t="shared" si="55"/>
        <v>60</v>
      </c>
      <c r="BF73" s="13">
        <f t="shared" si="18"/>
        <v>0</v>
      </c>
      <c r="BG73" s="28">
        <f t="shared" si="56"/>
        <v>60</v>
      </c>
    </row>
    <row r="74" spans="1:59" x14ac:dyDescent="0.2">
      <c r="A74" s="8">
        <f t="shared" si="57"/>
        <v>33</v>
      </c>
      <c r="B74" s="26">
        <f t="shared" si="0"/>
        <v>660</v>
      </c>
      <c r="C74" s="26">
        <f t="shared" si="19"/>
        <v>0</v>
      </c>
      <c r="D74" s="26">
        <f t="shared" si="20"/>
        <v>660</v>
      </c>
      <c r="E74" s="27">
        <f t="shared" si="21"/>
        <v>197.64999999999998</v>
      </c>
      <c r="F74" s="26">
        <f t="shared" si="22"/>
        <v>857.65</v>
      </c>
      <c r="G74" s="26">
        <f t="shared" si="23"/>
        <v>44597.799999999996</v>
      </c>
      <c r="H74" s="26">
        <f t="shared" si="24"/>
        <v>7314.6149999999989</v>
      </c>
      <c r="I74" s="26">
        <f t="shared" si="25"/>
        <v>37283.184999999998</v>
      </c>
      <c r="J74" s="26">
        <f t="shared" si="26"/>
        <v>716.98432692307688</v>
      </c>
      <c r="K74" s="26">
        <f t="shared" si="27"/>
        <v>551.75147877249549</v>
      </c>
      <c r="L74" s="26">
        <f t="shared" si="28"/>
        <v>165.23284815058139</v>
      </c>
      <c r="M74" s="26">
        <f t="shared" si="29"/>
        <v>129.06562500000001</v>
      </c>
      <c r="N74" s="27">
        <f t="shared" si="30"/>
        <v>170.8845</v>
      </c>
      <c r="O74" s="27">
        <f t="shared" si="31"/>
        <v>0</v>
      </c>
      <c r="P74" s="26">
        <f t="shared" si="32"/>
        <v>1016.9344519230768</v>
      </c>
      <c r="Q74" s="26">
        <f t="shared" si="33"/>
        <v>52880.591499999995</v>
      </c>
      <c r="R74" s="16">
        <f t="shared" si="34"/>
        <v>0.83349999999999791</v>
      </c>
      <c r="S74" s="26">
        <f t="shared" si="35"/>
        <v>66272.273571428566</v>
      </c>
      <c r="T74" s="27">
        <f t="shared" si="36"/>
        <v>60</v>
      </c>
      <c r="U74" s="26">
        <f t="shared" si="1"/>
        <v>956.93445192307684</v>
      </c>
      <c r="V74" s="16">
        <f t="shared" si="58"/>
        <v>0.83349999999999791</v>
      </c>
      <c r="W74" s="28">
        <f t="shared" si="2"/>
        <v>511.65</v>
      </c>
      <c r="X74" s="29">
        <f t="shared" si="37"/>
        <v>27</v>
      </c>
      <c r="Y74" s="29">
        <f t="shared" si="38"/>
        <v>287</v>
      </c>
      <c r="Z74" s="29">
        <f t="shared" si="39"/>
        <v>314</v>
      </c>
      <c r="AA74" s="28">
        <f t="shared" si="40"/>
        <v>197.64999999999998</v>
      </c>
      <c r="AB74" s="28">
        <f t="shared" si="41"/>
        <v>127.91249999999999</v>
      </c>
      <c r="AC74" s="28">
        <f t="shared" si="3"/>
        <v>172.08750000000001</v>
      </c>
      <c r="AD74" s="28">
        <f t="shared" si="42"/>
        <v>129.06562500000001</v>
      </c>
      <c r="AE74" s="13">
        <f t="shared" si="4"/>
        <v>129.06562500000001</v>
      </c>
      <c r="AF74" s="13">
        <f t="shared" si="5"/>
        <v>0</v>
      </c>
      <c r="AG74" s="13">
        <f t="shared" si="43"/>
        <v>129.06562500000001</v>
      </c>
      <c r="AH74" s="28">
        <f t="shared" si="6"/>
        <v>231.81</v>
      </c>
      <c r="AI74" s="13">
        <f t="shared" si="7"/>
        <v>225.64999999999998</v>
      </c>
      <c r="AJ74" s="28">
        <f t="shared" si="8"/>
        <v>60.9255</v>
      </c>
      <c r="AK74" s="13">
        <f t="shared" si="44"/>
        <v>170.8845</v>
      </c>
      <c r="AL74" s="47">
        <f t="shared" si="45"/>
        <v>20</v>
      </c>
      <c r="AM74" s="13" t="str">
        <f t="shared" si="46"/>
        <v>N</v>
      </c>
      <c r="AN74" s="13">
        <f t="shared" si="47"/>
        <v>0</v>
      </c>
      <c r="AO74" s="13" t="str">
        <f t="shared" si="48"/>
        <v>N</v>
      </c>
      <c r="AP74" s="13">
        <f t="shared" si="49"/>
        <v>72.5</v>
      </c>
      <c r="AQ74" s="13">
        <f t="shared" si="50"/>
        <v>0</v>
      </c>
      <c r="AR74" s="13">
        <f t="shared" si="51"/>
        <v>0</v>
      </c>
      <c r="AS74" s="9">
        <f t="shared" si="9"/>
        <v>2</v>
      </c>
      <c r="AT74" s="9">
        <f t="shared" si="10"/>
        <v>20</v>
      </c>
      <c r="AU74" s="9">
        <f t="shared" si="11"/>
        <v>0</v>
      </c>
      <c r="AV74" s="13">
        <f t="shared" si="12"/>
        <v>5.69</v>
      </c>
      <c r="AW74" s="13">
        <f t="shared" si="13"/>
        <v>0</v>
      </c>
      <c r="AX74" s="9">
        <f t="shared" si="14"/>
        <v>1</v>
      </c>
      <c r="AY74" s="9">
        <f t="shared" si="15"/>
        <v>0</v>
      </c>
      <c r="AZ74" s="28">
        <f t="shared" si="52"/>
        <v>0</v>
      </c>
      <c r="BA74" s="9">
        <f t="shared" si="16"/>
        <v>1</v>
      </c>
      <c r="BB74" s="9">
        <f t="shared" si="17"/>
        <v>0</v>
      </c>
      <c r="BC74" s="28">
        <f t="shared" si="53"/>
        <v>0</v>
      </c>
      <c r="BD74" s="28">
        <f t="shared" si="54"/>
        <v>0</v>
      </c>
      <c r="BE74" s="13">
        <f t="shared" si="55"/>
        <v>60</v>
      </c>
      <c r="BF74" s="13">
        <f t="shared" si="18"/>
        <v>0</v>
      </c>
      <c r="BG74" s="28">
        <f t="shared" si="56"/>
        <v>60</v>
      </c>
    </row>
    <row r="75" spans="1:59" x14ac:dyDescent="0.2">
      <c r="A75" s="8">
        <f t="shared" si="57"/>
        <v>34</v>
      </c>
      <c r="B75" s="26">
        <f t="shared" si="0"/>
        <v>680</v>
      </c>
      <c r="C75" s="26">
        <f t="shared" si="19"/>
        <v>0</v>
      </c>
      <c r="D75" s="26">
        <f t="shared" si="20"/>
        <v>680</v>
      </c>
      <c r="E75" s="27">
        <f t="shared" si="21"/>
        <v>183.64999999999998</v>
      </c>
      <c r="F75" s="26">
        <f t="shared" si="22"/>
        <v>863.65</v>
      </c>
      <c r="G75" s="26">
        <f t="shared" si="23"/>
        <v>44909.799999999996</v>
      </c>
      <c r="H75" s="26">
        <f t="shared" si="24"/>
        <v>7369.2149999999992</v>
      </c>
      <c r="I75" s="26">
        <f t="shared" si="25"/>
        <v>37540.584999999999</v>
      </c>
      <c r="J75" s="26">
        <f t="shared" si="26"/>
        <v>721.93432692307692</v>
      </c>
      <c r="K75" s="26">
        <f t="shared" si="27"/>
        <v>568.41931605128502</v>
      </c>
      <c r="L75" s="26">
        <f t="shared" si="28"/>
        <v>153.51501087179187</v>
      </c>
      <c r="M75" s="26">
        <f t="shared" si="29"/>
        <v>129.06562500000001</v>
      </c>
      <c r="N75" s="27">
        <f t="shared" si="30"/>
        <v>169.2645</v>
      </c>
      <c r="O75" s="27">
        <f t="shared" si="31"/>
        <v>0</v>
      </c>
      <c r="P75" s="26">
        <f t="shared" si="32"/>
        <v>1020.2644519230769</v>
      </c>
      <c r="Q75" s="26">
        <f t="shared" si="33"/>
        <v>53053.751499999998</v>
      </c>
      <c r="R75" s="16">
        <f t="shared" si="34"/>
        <v>0.83349999999999791</v>
      </c>
      <c r="S75" s="26">
        <f t="shared" si="35"/>
        <v>66519.645000000004</v>
      </c>
      <c r="T75" s="27">
        <f t="shared" si="36"/>
        <v>60</v>
      </c>
      <c r="U75" s="26">
        <f t="shared" si="1"/>
        <v>960.26445192307688</v>
      </c>
      <c r="V75" s="16">
        <f t="shared" si="58"/>
        <v>0.83349999999999791</v>
      </c>
      <c r="W75" s="28">
        <f t="shared" si="2"/>
        <v>511.65</v>
      </c>
      <c r="X75" s="29">
        <f t="shared" si="37"/>
        <v>27</v>
      </c>
      <c r="Y75" s="29">
        <f t="shared" si="38"/>
        <v>301</v>
      </c>
      <c r="Z75" s="29">
        <f t="shared" si="39"/>
        <v>328</v>
      </c>
      <c r="AA75" s="28">
        <f t="shared" si="40"/>
        <v>183.64999999999998</v>
      </c>
      <c r="AB75" s="28">
        <f t="shared" si="41"/>
        <v>127.91249999999999</v>
      </c>
      <c r="AC75" s="28">
        <f t="shared" si="3"/>
        <v>172.08750000000001</v>
      </c>
      <c r="AD75" s="28">
        <f t="shared" si="42"/>
        <v>129.06562500000001</v>
      </c>
      <c r="AE75" s="13">
        <f t="shared" si="4"/>
        <v>129.06562500000001</v>
      </c>
      <c r="AF75" s="13">
        <f t="shared" si="5"/>
        <v>0</v>
      </c>
      <c r="AG75" s="13">
        <f t="shared" si="43"/>
        <v>129.06562500000001</v>
      </c>
      <c r="AH75" s="28">
        <f t="shared" si="6"/>
        <v>231.81</v>
      </c>
      <c r="AI75" s="13">
        <f t="shared" si="7"/>
        <v>231.64999999999998</v>
      </c>
      <c r="AJ75" s="28">
        <f t="shared" si="8"/>
        <v>62.545499999999997</v>
      </c>
      <c r="AK75" s="13">
        <f t="shared" si="44"/>
        <v>169.2645</v>
      </c>
      <c r="AL75" s="47">
        <f t="shared" si="45"/>
        <v>20</v>
      </c>
      <c r="AM75" s="13" t="str">
        <f t="shared" si="46"/>
        <v>N</v>
      </c>
      <c r="AN75" s="13">
        <f t="shared" si="47"/>
        <v>0</v>
      </c>
      <c r="AO75" s="13" t="str">
        <f t="shared" si="48"/>
        <v>N</v>
      </c>
      <c r="AP75" s="13">
        <f t="shared" si="49"/>
        <v>72.5</v>
      </c>
      <c r="AQ75" s="13">
        <f t="shared" si="50"/>
        <v>0</v>
      </c>
      <c r="AR75" s="13">
        <f t="shared" si="51"/>
        <v>0</v>
      </c>
      <c r="AS75" s="9">
        <f t="shared" si="9"/>
        <v>2</v>
      </c>
      <c r="AT75" s="9">
        <f t="shared" si="10"/>
        <v>20</v>
      </c>
      <c r="AU75" s="9">
        <f t="shared" si="11"/>
        <v>0</v>
      </c>
      <c r="AV75" s="13">
        <f t="shared" si="12"/>
        <v>5.69</v>
      </c>
      <c r="AW75" s="13">
        <f t="shared" si="13"/>
        <v>0</v>
      </c>
      <c r="AX75" s="9">
        <f t="shared" si="14"/>
        <v>1</v>
      </c>
      <c r="AY75" s="9">
        <f t="shared" si="15"/>
        <v>0</v>
      </c>
      <c r="AZ75" s="28">
        <f t="shared" si="52"/>
        <v>0</v>
      </c>
      <c r="BA75" s="9">
        <f t="shared" si="16"/>
        <v>1</v>
      </c>
      <c r="BB75" s="9">
        <f t="shared" si="17"/>
        <v>0</v>
      </c>
      <c r="BC75" s="28">
        <f t="shared" si="53"/>
        <v>0</v>
      </c>
      <c r="BD75" s="28">
        <f t="shared" si="54"/>
        <v>0</v>
      </c>
      <c r="BE75" s="13">
        <f t="shared" si="55"/>
        <v>60</v>
      </c>
      <c r="BF75" s="13">
        <f t="shared" si="18"/>
        <v>0</v>
      </c>
      <c r="BG75" s="28">
        <f t="shared" si="56"/>
        <v>60</v>
      </c>
    </row>
    <row r="76" spans="1:59" x14ac:dyDescent="0.2">
      <c r="A76" s="8">
        <f t="shared" si="57"/>
        <v>35</v>
      </c>
      <c r="B76" s="26">
        <f t="shared" si="0"/>
        <v>700</v>
      </c>
      <c r="C76" s="26">
        <f t="shared" si="19"/>
        <v>0</v>
      </c>
      <c r="D76" s="26">
        <f t="shared" si="20"/>
        <v>700</v>
      </c>
      <c r="E76" s="27">
        <f t="shared" si="21"/>
        <v>169.64999999999998</v>
      </c>
      <c r="F76" s="26">
        <f t="shared" si="22"/>
        <v>869.65</v>
      </c>
      <c r="G76" s="26">
        <f t="shared" si="23"/>
        <v>45221.799999999996</v>
      </c>
      <c r="H76" s="26">
        <f t="shared" si="24"/>
        <v>7423.8149999999987</v>
      </c>
      <c r="I76" s="26">
        <f t="shared" si="25"/>
        <v>37797.985000000001</v>
      </c>
      <c r="J76" s="26">
        <f t="shared" si="26"/>
        <v>726.88432692307697</v>
      </c>
      <c r="K76" s="26">
        <f t="shared" si="27"/>
        <v>585.08483740143026</v>
      </c>
      <c r="L76" s="26">
        <f t="shared" si="28"/>
        <v>141.79948952164662</v>
      </c>
      <c r="M76" s="26">
        <f t="shared" si="29"/>
        <v>129.06562500000001</v>
      </c>
      <c r="N76" s="27">
        <f t="shared" si="30"/>
        <v>167.64449999999999</v>
      </c>
      <c r="O76" s="27">
        <f t="shared" si="31"/>
        <v>0</v>
      </c>
      <c r="P76" s="26">
        <f t="shared" si="32"/>
        <v>1023.5944519230769</v>
      </c>
      <c r="Q76" s="26">
        <f t="shared" si="33"/>
        <v>53226.911500000002</v>
      </c>
      <c r="R76" s="16">
        <f t="shared" si="34"/>
        <v>0.83349999999999791</v>
      </c>
      <c r="S76" s="26">
        <f t="shared" si="35"/>
        <v>66767.016428571427</v>
      </c>
      <c r="T76" s="27">
        <f t="shared" si="36"/>
        <v>60</v>
      </c>
      <c r="U76" s="26">
        <f t="shared" si="1"/>
        <v>963.59445192307692</v>
      </c>
      <c r="V76" s="16">
        <f t="shared" si="58"/>
        <v>0.83349999999999791</v>
      </c>
      <c r="W76" s="28">
        <f t="shared" si="2"/>
        <v>511.65</v>
      </c>
      <c r="X76" s="29">
        <f t="shared" si="37"/>
        <v>27</v>
      </c>
      <c r="Y76" s="29">
        <f t="shared" si="38"/>
        <v>315</v>
      </c>
      <c r="Z76" s="29">
        <f t="shared" si="39"/>
        <v>342</v>
      </c>
      <c r="AA76" s="28">
        <f t="shared" si="40"/>
        <v>169.64999999999998</v>
      </c>
      <c r="AB76" s="28">
        <f t="shared" si="41"/>
        <v>127.91249999999999</v>
      </c>
      <c r="AC76" s="28">
        <f t="shared" si="3"/>
        <v>172.08750000000001</v>
      </c>
      <c r="AD76" s="28">
        <f t="shared" si="42"/>
        <v>129.06562500000001</v>
      </c>
      <c r="AE76" s="13">
        <f t="shared" si="4"/>
        <v>129.06562500000001</v>
      </c>
      <c r="AF76" s="13">
        <f t="shared" si="5"/>
        <v>0</v>
      </c>
      <c r="AG76" s="13">
        <f t="shared" si="43"/>
        <v>129.06562500000001</v>
      </c>
      <c r="AH76" s="28">
        <f t="shared" si="6"/>
        <v>231.81</v>
      </c>
      <c r="AI76" s="13">
        <f t="shared" si="7"/>
        <v>237.64999999999998</v>
      </c>
      <c r="AJ76" s="28">
        <f t="shared" si="8"/>
        <v>64.165499999999994</v>
      </c>
      <c r="AK76" s="13">
        <f t="shared" si="44"/>
        <v>167.64449999999999</v>
      </c>
      <c r="AL76" s="47">
        <f t="shared" si="45"/>
        <v>20</v>
      </c>
      <c r="AM76" s="13" t="str">
        <f t="shared" si="46"/>
        <v>N</v>
      </c>
      <c r="AN76" s="13">
        <f t="shared" si="47"/>
        <v>0</v>
      </c>
      <c r="AO76" s="13" t="str">
        <f t="shared" si="48"/>
        <v>N</v>
      </c>
      <c r="AP76" s="13">
        <f t="shared" si="49"/>
        <v>72.5</v>
      </c>
      <c r="AQ76" s="13">
        <f t="shared" si="50"/>
        <v>0</v>
      </c>
      <c r="AR76" s="13">
        <f t="shared" si="51"/>
        <v>0</v>
      </c>
      <c r="AS76" s="9">
        <f t="shared" si="9"/>
        <v>2</v>
      </c>
      <c r="AT76" s="9">
        <f t="shared" si="10"/>
        <v>20</v>
      </c>
      <c r="AU76" s="9">
        <f t="shared" si="11"/>
        <v>0</v>
      </c>
      <c r="AV76" s="13">
        <f t="shared" si="12"/>
        <v>5.69</v>
      </c>
      <c r="AW76" s="13">
        <f t="shared" si="13"/>
        <v>0</v>
      </c>
      <c r="AX76" s="9">
        <f t="shared" si="14"/>
        <v>1</v>
      </c>
      <c r="AY76" s="9">
        <f t="shared" si="15"/>
        <v>0</v>
      </c>
      <c r="AZ76" s="28">
        <f t="shared" si="52"/>
        <v>0</v>
      </c>
      <c r="BA76" s="9">
        <f t="shared" si="16"/>
        <v>1</v>
      </c>
      <c r="BB76" s="9">
        <f t="shared" si="17"/>
        <v>0</v>
      </c>
      <c r="BC76" s="28">
        <f t="shared" si="53"/>
        <v>0</v>
      </c>
      <c r="BD76" s="28">
        <f t="shared" si="54"/>
        <v>0</v>
      </c>
      <c r="BE76" s="13">
        <f t="shared" si="55"/>
        <v>60</v>
      </c>
      <c r="BF76" s="13">
        <f t="shared" si="18"/>
        <v>0</v>
      </c>
      <c r="BG76" s="28">
        <f t="shared" si="56"/>
        <v>60</v>
      </c>
    </row>
    <row r="77" spans="1:59" x14ac:dyDescent="0.2">
      <c r="A77" s="8">
        <f t="shared" si="57"/>
        <v>36</v>
      </c>
      <c r="B77" s="26">
        <f t="shared" si="0"/>
        <v>720</v>
      </c>
      <c r="C77" s="26">
        <f t="shared" si="19"/>
        <v>0</v>
      </c>
      <c r="D77" s="26">
        <f t="shared" si="20"/>
        <v>720</v>
      </c>
      <c r="E77" s="27">
        <f t="shared" si="21"/>
        <v>155.64999999999998</v>
      </c>
      <c r="F77" s="26">
        <f t="shared" si="22"/>
        <v>875.65</v>
      </c>
      <c r="G77" s="26">
        <f t="shared" si="23"/>
        <v>45533.799999999996</v>
      </c>
      <c r="H77" s="26">
        <f t="shared" si="24"/>
        <v>7478.4149999999991</v>
      </c>
      <c r="I77" s="26">
        <f t="shared" si="25"/>
        <v>38055.384999999995</v>
      </c>
      <c r="J77" s="26">
        <f t="shared" si="26"/>
        <v>731.83432692307679</v>
      </c>
      <c r="K77" s="26">
        <f t="shared" si="27"/>
        <v>601.748090429527</v>
      </c>
      <c r="L77" s="26">
        <f t="shared" si="28"/>
        <v>130.08623649354979</v>
      </c>
      <c r="M77" s="26">
        <f t="shared" si="29"/>
        <v>129.06562500000001</v>
      </c>
      <c r="N77" s="27">
        <f t="shared" si="30"/>
        <v>166.02449999999999</v>
      </c>
      <c r="O77" s="27">
        <f t="shared" si="31"/>
        <v>0</v>
      </c>
      <c r="P77" s="26">
        <f t="shared" si="32"/>
        <v>1026.9244519230767</v>
      </c>
      <c r="Q77" s="26">
        <f t="shared" si="33"/>
        <v>53400.071499999991</v>
      </c>
      <c r="R77" s="16">
        <f t="shared" si="34"/>
        <v>0.83350000000000934</v>
      </c>
      <c r="S77" s="26">
        <f t="shared" si="35"/>
        <v>67014.38785714285</v>
      </c>
      <c r="T77" s="27">
        <f t="shared" si="36"/>
        <v>60</v>
      </c>
      <c r="U77" s="26">
        <f t="shared" si="1"/>
        <v>966.92445192307673</v>
      </c>
      <c r="V77" s="16">
        <f t="shared" si="58"/>
        <v>0.83350000000000934</v>
      </c>
      <c r="W77" s="28">
        <f t="shared" si="2"/>
        <v>511.65</v>
      </c>
      <c r="X77" s="29">
        <f t="shared" si="37"/>
        <v>27</v>
      </c>
      <c r="Y77" s="29">
        <f t="shared" si="38"/>
        <v>329</v>
      </c>
      <c r="Z77" s="29">
        <f t="shared" si="39"/>
        <v>356</v>
      </c>
      <c r="AA77" s="28">
        <f t="shared" si="40"/>
        <v>155.64999999999998</v>
      </c>
      <c r="AB77" s="28">
        <f t="shared" si="41"/>
        <v>127.91249999999999</v>
      </c>
      <c r="AC77" s="28">
        <f t="shared" si="3"/>
        <v>172.08750000000001</v>
      </c>
      <c r="AD77" s="28">
        <f t="shared" si="42"/>
        <v>129.06562500000001</v>
      </c>
      <c r="AE77" s="13">
        <f t="shared" si="4"/>
        <v>129.06562500000001</v>
      </c>
      <c r="AF77" s="13">
        <f t="shared" si="5"/>
        <v>0</v>
      </c>
      <c r="AG77" s="13">
        <f t="shared" si="43"/>
        <v>129.06562500000001</v>
      </c>
      <c r="AH77" s="28">
        <f t="shared" si="6"/>
        <v>231.81</v>
      </c>
      <c r="AI77" s="13">
        <f t="shared" si="7"/>
        <v>243.64999999999998</v>
      </c>
      <c r="AJ77" s="28">
        <f t="shared" si="8"/>
        <v>65.785499999999999</v>
      </c>
      <c r="AK77" s="13">
        <f t="shared" si="44"/>
        <v>166.02449999999999</v>
      </c>
      <c r="AL77" s="47">
        <f t="shared" si="45"/>
        <v>20</v>
      </c>
      <c r="AM77" s="13" t="str">
        <f t="shared" si="46"/>
        <v>N</v>
      </c>
      <c r="AN77" s="13">
        <f t="shared" si="47"/>
        <v>0</v>
      </c>
      <c r="AO77" s="13" t="str">
        <f t="shared" si="48"/>
        <v>N</v>
      </c>
      <c r="AP77" s="13">
        <f t="shared" si="49"/>
        <v>72.5</v>
      </c>
      <c r="AQ77" s="13">
        <f t="shared" si="50"/>
        <v>0</v>
      </c>
      <c r="AR77" s="13">
        <f t="shared" si="51"/>
        <v>0</v>
      </c>
      <c r="AS77" s="9">
        <f t="shared" si="9"/>
        <v>2</v>
      </c>
      <c r="AT77" s="9">
        <f t="shared" si="10"/>
        <v>20</v>
      </c>
      <c r="AU77" s="9">
        <f t="shared" si="11"/>
        <v>0</v>
      </c>
      <c r="AV77" s="13">
        <f t="shared" si="12"/>
        <v>5.69</v>
      </c>
      <c r="AW77" s="13">
        <f t="shared" si="13"/>
        <v>0</v>
      </c>
      <c r="AX77" s="9">
        <f t="shared" si="14"/>
        <v>1</v>
      </c>
      <c r="AY77" s="9">
        <f t="shared" si="15"/>
        <v>0</v>
      </c>
      <c r="AZ77" s="28">
        <f t="shared" si="52"/>
        <v>0</v>
      </c>
      <c r="BA77" s="9">
        <f t="shared" si="16"/>
        <v>1</v>
      </c>
      <c r="BB77" s="9">
        <f t="shared" si="17"/>
        <v>0</v>
      </c>
      <c r="BC77" s="28">
        <f t="shared" si="53"/>
        <v>0</v>
      </c>
      <c r="BD77" s="28">
        <f t="shared" si="54"/>
        <v>0</v>
      </c>
      <c r="BE77" s="13">
        <f t="shared" si="55"/>
        <v>60</v>
      </c>
      <c r="BF77" s="13">
        <f t="shared" si="18"/>
        <v>0</v>
      </c>
      <c r="BG77" s="28">
        <f t="shared" si="56"/>
        <v>60</v>
      </c>
    </row>
    <row r="78" spans="1:59" x14ac:dyDescent="0.2">
      <c r="A78" s="8">
        <f t="shared" si="57"/>
        <v>37</v>
      </c>
      <c r="B78" s="26">
        <f t="shared" si="0"/>
        <v>740</v>
      </c>
      <c r="C78" s="26">
        <f t="shared" si="19"/>
        <v>0</v>
      </c>
      <c r="D78" s="26">
        <f t="shared" si="20"/>
        <v>740</v>
      </c>
      <c r="E78" s="27">
        <f t="shared" si="21"/>
        <v>141.64999999999998</v>
      </c>
      <c r="F78" s="26">
        <f t="shared" si="22"/>
        <v>881.65</v>
      </c>
      <c r="G78" s="26">
        <f t="shared" si="23"/>
        <v>45845.799999999996</v>
      </c>
      <c r="H78" s="26">
        <f t="shared" si="24"/>
        <v>7533.0149999999985</v>
      </c>
      <c r="I78" s="26">
        <f t="shared" si="25"/>
        <v>38312.784999999996</v>
      </c>
      <c r="J78" s="26">
        <f t="shared" si="26"/>
        <v>736.78432692307683</v>
      </c>
      <c r="K78" s="26">
        <f t="shared" si="27"/>
        <v>618.40912144623928</v>
      </c>
      <c r="L78" s="26">
        <f t="shared" si="28"/>
        <v>118.37520547683754</v>
      </c>
      <c r="M78" s="26">
        <f t="shared" si="29"/>
        <v>129.06562500000001</v>
      </c>
      <c r="N78" s="27">
        <f t="shared" si="30"/>
        <v>164.40449999999998</v>
      </c>
      <c r="O78" s="27">
        <f t="shared" si="31"/>
        <v>0</v>
      </c>
      <c r="P78" s="26">
        <f t="shared" si="32"/>
        <v>1030.2544519230769</v>
      </c>
      <c r="Q78" s="26">
        <f t="shared" si="33"/>
        <v>53573.231499999994</v>
      </c>
      <c r="R78" s="16">
        <f t="shared" si="34"/>
        <v>0.83349999999999225</v>
      </c>
      <c r="S78" s="26">
        <f t="shared" si="35"/>
        <v>67261.759285714274</v>
      </c>
      <c r="T78" s="27">
        <f t="shared" si="36"/>
        <v>60</v>
      </c>
      <c r="U78" s="26">
        <f t="shared" si="1"/>
        <v>970.25445192307689</v>
      </c>
      <c r="V78" s="16">
        <f t="shared" si="58"/>
        <v>0.83349999999999225</v>
      </c>
      <c r="W78" s="28">
        <f t="shared" si="2"/>
        <v>511.65</v>
      </c>
      <c r="X78" s="29">
        <f t="shared" si="37"/>
        <v>27</v>
      </c>
      <c r="Y78" s="29">
        <f t="shared" si="38"/>
        <v>343</v>
      </c>
      <c r="Z78" s="29">
        <f t="shared" si="39"/>
        <v>370</v>
      </c>
      <c r="AA78" s="28">
        <f t="shared" si="40"/>
        <v>141.64999999999998</v>
      </c>
      <c r="AB78" s="28">
        <f t="shared" si="41"/>
        <v>127.91249999999999</v>
      </c>
      <c r="AC78" s="28">
        <f t="shared" si="3"/>
        <v>172.08750000000001</v>
      </c>
      <c r="AD78" s="28">
        <f t="shared" si="42"/>
        <v>129.06562500000001</v>
      </c>
      <c r="AE78" s="13">
        <f t="shared" si="4"/>
        <v>129.06562500000001</v>
      </c>
      <c r="AF78" s="13">
        <f t="shared" si="5"/>
        <v>0</v>
      </c>
      <c r="AG78" s="13">
        <f t="shared" si="43"/>
        <v>129.06562500000001</v>
      </c>
      <c r="AH78" s="28">
        <f t="shared" si="6"/>
        <v>231.81</v>
      </c>
      <c r="AI78" s="13">
        <f t="shared" si="7"/>
        <v>249.64999999999998</v>
      </c>
      <c r="AJ78" s="28">
        <f t="shared" si="8"/>
        <v>67.405500000000004</v>
      </c>
      <c r="AK78" s="13">
        <f t="shared" si="44"/>
        <v>164.40449999999998</v>
      </c>
      <c r="AL78" s="47">
        <f t="shared" si="45"/>
        <v>20</v>
      </c>
      <c r="AM78" s="13" t="str">
        <f t="shared" si="46"/>
        <v>N</v>
      </c>
      <c r="AN78" s="13">
        <f t="shared" si="47"/>
        <v>0</v>
      </c>
      <c r="AO78" s="13" t="str">
        <f t="shared" si="48"/>
        <v>N</v>
      </c>
      <c r="AP78" s="13">
        <f t="shared" si="49"/>
        <v>72.5</v>
      </c>
      <c r="AQ78" s="13">
        <f t="shared" si="50"/>
        <v>0</v>
      </c>
      <c r="AR78" s="13">
        <f t="shared" si="51"/>
        <v>0</v>
      </c>
      <c r="AS78" s="9">
        <f t="shared" si="9"/>
        <v>2</v>
      </c>
      <c r="AT78" s="9">
        <f t="shared" si="10"/>
        <v>20</v>
      </c>
      <c r="AU78" s="9">
        <f t="shared" si="11"/>
        <v>0</v>
      </c>
      <c r="AV78" s="13">
        <f t="shared" si="12"/>
        <v>5.69</v>
      </c>
      <c r="AW78" s="13">
        <f t="shared" si="13"/>
        <v>0</v>
      </c>
      <c r="AX78" s="9">
        <f t="shared" si="14"/>
        <v>1</v>
      </c>
      <c r="AY78" s="9">
        <f t="shared" si="15"/>
        <v>0</v>
      </c>
      <c r="AZ78" s="28">
        <f t="shared" si="52"/>
        <v>0</v>
      </c>
      <c r="BA78" s="9">
        <f t="shared" si="16"/>
        <v>1</v>
      </c>
      <c r="BB78" s="9">
        <f t="shared" si="17"/>
        <v>0</v>
      </c>
      <c r="BC78" s="28">
        <f t="shared" si="53"/>
        <v>0</v>
      </c>
      <c r="BD78" s="28">
        <f t="shared" si="54"/>
        <v>0</v>
      </c>
      <c r="BE78" s="13">
        <f t="shared" si="55"/>
        <v>60</v>
      </c>
      <c r="BF78" s="13">
        <f t="shared" si="18"/>
        <v>0</v>
      </c>
      <c r="BG78" s="28">
        <f t="shared" si="56"/>
        <v>60</v>
      </c>
    </row>
    <row r="79" spans="1:59" x14ac:dyDescent="0.2">
      <c r="A79" s="8">
        <f t="shared" si="57"/>
        <v>38</v>
      </c>
      <c r="B79" s="26">
        <f t="shared" si="0"/>
        <v>760</v>
      </c>
      <c r="C79" s="26">
        <f t="shared" si="19"/>
        <v>0</v>
      </c>
      <c r="D79" s="26">
        <f t="shared" si="20"/>
        <v>760</v>
      </c>
      <c r="E79" s="27">
        <f t="shared" si="21"/>
        <v>127.64999999999998</v>
      </c>
      <c r="F79" s="26">
        <f t="shared" si="22"/>
        <v>887.65</v>
      </c>
      <c r="G79" s="26">
        <f t="shared" si="23"/>
        <v>46157.799999999996</v>
      </c>
      <c r="H79" s="26">
        <f t="shared" si="24"/>
        <v>7587.6149999999989</v>
      </c>
      <c r="I79" s="26">
        <f t="shared" si="25"/>
        <v>38570.184999999998</v>
      </c>
      <c r="J79" s="26">
        <f t="shared" si="26"/>
        <v>741.73432692307688</v>
      </c>
      <c r="K79" s="26">
        <f t="shared" si="27"/>
        <v>635.06797551009788</v>
      </c>
      <c r="L79" s="26">
        <f t="shared" si="28"/>
        <v>106.66635141297893</v>
      </c>
      <c r="M79" s="26">
        <f t="shared" si="29"/>
        <v>129.06562500000001</v>
      </c>
      <c r="N79" s="27">
        <f t="shared" si="30"/>
        <v>162.78450000000001</v>
      </c>
      <c r="O79" s="27">
        <f t="shared" si="31"/>
        <v>0</v>
      </c>
      <c r="P79" s="26">
        <f t="shared" si="32"/>
        <v>1033.5844519230768</v>
      </c>
      <c r="Q79" s="26">
        <f t="shared" si="33"/>
        <v>53746.391499999998</v>
      </c>
      <c r="R79" s="16">
        <f t="shared" si="34"/>
        <v>0.83350000000000368</v>
      </c>
      <c r="S79" s="26">
        <f t="shared" si="35"/>
        <v>67509.130714285711</v>
      </c>
      <c r="T79" s="27">
        <f t="shared" si="36"/>
        <v>60</v>
      </c>
      <c r="U79" s="26">
        <f t="shared" si="1"/>
        <v>973.58445192307681</v>
      </c>
      <c r="V79" s="16">
        <f t="shared" si="58"/>
        <v>0.83350000000000368</v>
      </c>
      <c r="W79" s="28">
        <f t="shared" si="2"/>
        <v>511.65</v>
      </c>
      <c r="X79" s="29">
        <f t="shared" si="37"/>
        <v>27</v>
      </c>
      <c r="Y79" s="29">
        <f t="shared" si="38"/>
        <v>357</v>
      </c>
      <c r="Z79" s="29">
        <f t="shared" si="39"/>
        <v>384</v>
      </c>
      <c r="AA79" s="28">
        <f t="shared" si="40"/>
        <v>127.64999999999998</v>
      </c>
      <c r="AB79" s="28">
        <f t="shared" si="41"/>
        <v>127.91249999999999</v>
      </c>
      <c r="AC79" s="28">
        <f t="shared" si="3"/>
        <v>172.08750000000001</v>
      </c>
      <c r="AD79" s="28">
        <f t="shared" si="42"/>
        <v>129.06562500000001</v>
      </c>
      <c r="AE79" s="13">
        <f t="shared" si="4"/>
        <v>129.06562500000001</v>
      </c>
      <c r="AF79" s="13">
        <f t="shared" si="5"/>
        <v>0</v>
      </c>
      <c r="AG79" s="13">
        <f t="shared" si="43"/>
        <v>129.06562500000001</v>
      </c>
      <c r="AH79" s="28">
        <f t="shared" si="6"/>
        <v>231.81</v>
      </c>
      <c r="AI79" s="13">
        <f t="shared" si="7"/>
        <v>255.64999999999998</v>
      </c>
      <c r="AJ79" s="28">
        <f t="shared" si="8"/>
        <v>69.025499999999994</v>
      </c>
      <c r="AK79" s="13">
        <f t="shared" si="44"/>
        <v>162.78450000000001</v>
      </c>
      <c r="AL79" s="47">
        <f t="shared" si="45"/>
        <v>20</v>
      </c>
      <c r="AM79" s="13" t="str">
        <f t="shared" si="46"/>
        <v>N</v>
      </c>
      <c r="AN79" s="13">
        <f t="shared" si="47"/>
        <v>0</v>
      </c>
      <c r="AO79" s="13" t="str">
        <f t="shared" si="48"/>
        <v>N</v>
      </c>
      <c r="AP79" s="13">
        <f t="shared" si="49"/>
        <v>72.5</v>
      </c>
      <c r="AQ79" s="13">
        <f t="shared" si="50"/>
        <v>0</v>
      </c>
      <c r="AR79" s="13">
        <f t="shared" si="51"/>
        <v>0</v>
      </c>
      <c r="AS79" s="9">
        <f t="shared" si="9"/>
        <v>2</v>
      </c>
      <c r="AT79" s="9">
        <f t="shared" si="10"/>
        <v>20</v>
      </c>
      <c r="AU79" s="9">
        <f t="shared" si="11"/>
        <v>0</v>
      </c>
      <c r="AV79" s="13">
        <f t="shared" si="12"/>
        <v>5.69</v>
      </c>
      <c r="AW79" s="13">
        <f t="shared" si="13"/>
        <v>0</v>
      </c>
      <c r="AX79" s="9">
        <f t="shared" si="14"/>
        <v>1</v>
      </c>
      <c r="AY79" s="9">
        <f t="shared" si="15"/>
        <v>0</v>
      </c>
      <c r="AZ79" s="28">
        <f t="shared" si="52"/>
        <v>0</v>
      </c>
      <c r="BA79" s="9">
        <f t="shared" si="16"/>
        <v>1</v>
      </c>
      <c r="BB79" s="9">
        <f t="shared" si="17"/>
        <v>0</v>
      </c>
      <c r="BC79" s="28">
        <f t="shared" si="53"/>
        <v>0</v>
      </c>
      <c r="BD79" s="28">
        <f t="shared" si="54"/>
        <v>0</v>
      </c>
      <c r="BE79" s="13">
        <f t="shared" si="55"/>
        <v>60</v>
      </c>
      <c r="BF79" s="13">
        <f t="shared" si="18"/>
        <v>0</v>
      </c>
      <c r="BG79" s="28">
        <f t="shared" si="56"/>
        <v>60</v>
      </c>
    </row>
    <row r="80" spans="1:59" x14ac:dyDescent="0.2">
      <c r="A80" s="8">
        <f t="shared" si="57"/>
        <v>39</v>
      </c>
      <c r="B80" s="26">
        <f t="shared" si="0"/>
        <v>780</v>
      </c>
      <c r="C80" s="26">
        <f t="shared" si="19"/>
        <v>0</v>
      </c>
      <c r="D80" s="26">
        <f t="shared" si="20"/>
        <v>780</v>
      </c>
      <c r="E80" s="27">
        <f t="shared" si="21"/>
        <v>113.64999999999998</v>
      </c>
      <c r="F80" s="26">
        <f t="shared" si="22"/>
        <v>893.65</v>
      </c>
      <c r="G80" s="26">
        <f t="shared" si="23"/>
        <v>46469.799999999996</v>
      </c>
      <c r="H80" s="26">
        <f t="shared" si="24"/>
        <v>7642.2149999999992</v>
      </c>
      <c r="I80" s="26">
        <f t="shared" si="25"/>
        <v>38827.584999999999</v>
      </c>
      <c r="J80" s="26">
        <f t="shared" si="26"/>
        <v>746.68432692307692</v>
      </c>
      <c r="K80" s="26">
        <f t="shared" si="27"/>
        <v>651.72469646953505</v>
      </c>
      <c r="L80" s="26">
        <f t="shared" si="28"/>
        <v>94.959630453541862</v>
      </c>
      <c r="M80" s="26">
        <f t="shared" si="29"/>
        <v>129.06562500000001</v>
      </c>
      <c r="N80" s="27">
        <f t="shared" si="30"/>
        <v>161.1645</v>
      </c>
      <c r="O80" s="27">
        <f t="shared" si="31"/>
        <v>0</v>
      </c>
      <c r="P80" s="26">
        <f t="shared" si="32"/>
        <v>1036.914451923077</v>
      </c>
      <c r="Q80" s="26">
        <f t="shared" si="33"/>
        <v>53919.551500000001</v>
      </c>
      <c r="R80" s="16">
        <f t="shared" si="34"/>
        <v>0.83349999999999225</v>
      </c>
      <c r="S80" s="26">
        <f t="shared" si="35"/>
        <v>67756.502142857149</v>
      </c>
      <c r="T80" s="27">
        <f t="shared" si="36"/>
        <v>60</v>
      </c>
      <c r="U80" s="26">
        <f t="shared" si="1"/>
        <v>976.91445192307697</v>
      </c>
      <c r="V80" s="16">
        <f t="shared" si="58"/>
        <v>0.83349999999999225</v>
      </c>
      <c r="W80" s="28">
        <f t="shared" si="2"/>
        <v>511.65</v>
      </c>
      <c r="X80" s="29">
        <f t="shared" si="37"/>
        <v>27</v>
      </c>
      <c r="Y80" s="29">
        <f t="shared" si="38"/>
        <v>371</v>
      </c>
      <c r="Z80" s="29">
        <f t="shared" si="39"/>
        <v>398</v>
      </c>
      <c r="AA80" s="28">
        <f t="shared" si="40"/>
        <v>113.64999999999998</v>
      </c>
      <c r="AB80" s="28">
        <f t="shared" si="41"/>
        <v>127.91249999999999</v>
      </c>
      <c r="AC80" s="28">
        <f t="shared" si="3"/>
        <v>172.08750000000001</v>
      </c>
      <c r="AD80" s="28">
        <f t="shared" si="42"/>
        <v>129.06562500000001</v>
      </c>
      <c r="AE80" s="13">
        <f t="shared" si="4"/>
        <v>129.06562500000001</v>
      </c>
      <c r="AF80" s="13">
        <f t="shared" si="5"/>
        <v>0</v>
      </c>
      <c r="AG80" s="13">
        <f t="shared" si="43"/>
        <v>129.06562500000001</v>
      </c>
      <c r="AH80" s="28">
        <f t="shared" si="6"/>
        <v>231.81</v>
      </c>
      <c r="AI80" s="13">
        <f t="shared" si="7"/>
        <v>261.64999999999998</v>
      </c>
      <c r="AJ80" s="28">
        <f t="shared" si="8"/>
        <v>70.645499999999998</v>
      </c>
      <c r="AK80" s="13">
        <f t="shared" si="44"/>
        <v>161.1645</v>
      </c>
      <c r="AL80" s="47">
        <f t="shared" si="45"/>
        <v>20</v>
      </c>
      <c r="AM80" s="13" t="str">
        <f t="shared" si="46"/>
        <v>N</v>
      </c>
      <c r="AN80" s="13">
        <f t="shared" si="47"/>
        <v>0</v>
      </c>
      <c r="AO80" s="13" t="str">
        <f t="shared" si="48"/>
        <v>N</v>
      </c>
      <c r="AP80" s="13">
        <f t="shared" si="49"/>
        <v>72.5</v>
      </c>
      <c r="AQ80" s="13">
        <f t="shared" si="50"/>
        <v>0</v>
      </c>
      <c r="AR80" s="13">
        <f t="shared" si="51"/>
        <v>0</v>
      </c>
      <c r="AS80" s="9">
        <f t="shared" si="9"/>
        <v>2</v>
      </c>
      <c r="AT80" s="9">
        <f t="shared" si="10"/>
        <v>20</v>
      </c>
      <c r="AU80" s="9">
        <f t="shared" si="11"/>
        <v>0</v>
      </c>
      <c r="AV80" s="13">
        <f t="shared" si="12"/>
        <v>5.69</v>
      </c>
      <c r="AW80" s="13">
        <f t="shared" si="13"/>
        <v>0</v>
      </c>
      <c r="AX80" s="9">
        <f t="shared" si="14"/>
        <v>1</v>
      </c>
      <c r="AY80" s="9">
        <f t="shared" si="15"/>
        <v>0</v>
      </c>
      <c r="AZ80" s="28">
        <f t="shared" si="52"/>
        <v>0</v>
      </c>
      <c r="BA80" s="9">
        <f t="shared" si="16"/>
        <v>1</v>
      </c>
      <c r="BB80" s="9">
        <f t="shared" si="17"/>
        <v>0</v>
      </c>
      <c r="BC80" s="28">
        <f t="shared" si="53"/>
        <v>0</v>
      </c>
      <c r="BD80" s="28">
        <f t="shared" si="54"/>
        <v>0</v>
      </c>
      <c r="BE80" s="13">
        <f t="shared" si="55"/>
        <v>60</v>
      </c>
      <c r="BF80" s="13">
        <f t="shared" si="18"/>
        <v>0</v>
      </c>
      <c r="BG80" s="28">
        <f t="shared" si="56"/>
        <v>60</v>
      </c>
    </row>
    <row r="81" spans="1:59" x14ac:dyDescent="0.2">
      <c r="A81" s="8">
        <f t="shared" si="57"/>
        <v>40</v>
      </c>
      <c r="B81" s="26">
        <f t="shared" si="0"/>
        <v>800</v>
      </c>
      <c r="C81" s="26">
        <f t="shared" si="19"/>
        <v>0</v>
      </c>
      <c r="D81" s="26">
        <f t="shared" si="20"/>
        <v>800</v>
      </c>
      <c r="E81" s="27">
        <f t="shared" si="21"/>
        <v>99.649999999999977</v>
      </c>
      <c r="F81" s="26">
        <f t="shared" si="22"/>
        <v>899.65</v>
      </c>
      <c r="G81" s="26">
        <f t="shared" si="23"/>
        <v>46781.799999999996</v>
      </c>
      <c r="H81" s="26">
        <f t="shared" si="24"/>
        <v>7696.8149999999987</v>
      </c>
      <c r="I81" s="26">
        <f t="shared" si="25"/>
        <v>39084.985000000001</v>
      </c>
      <c r="J81" s="26">
        <f t="shared" si="26"/>
        <v>751.63432692307697</v>
      </c>
      <c r="K81" s="26">
        <f t="shared" si="27"/>
        <v>668.37932700323643</v>
      </c>
      <c r="L81" s="26">
        <f t="shared" si="28"/>
        <v>83.254999919840614</v>
      </c>
      <c r="M81" s="26">
        <f t="shared" si="29"/>
        <v>129.06562500000001</v>
      </c>
      <c r="N81" s="27">
        <f t="shared" si="30"/>
        <v>159.5445</v>
      </c>
      <c r="O81" s="27">
        <f t="shared" si="31"/>
        <v>0</v>
      </c>
      <c r="P81" s="26">
        <f t="shared" si="32"/>
        <v>1040.2444519230769</v>
      </c>
      <c r="Q81" s="26">
        <f t="shared" si="33"/>
        <v>54092.711499999998</v>
      </c>
      <c r="R81" s="16">
        <f t="shared" si="34"/>
        <v>0.83350000000000368</v>
      </c>
      <c r="S81" s="26">
        <f t="shared" si="35"/>
        <v>68003.873571428572</v>
      </c>
      <c r="T81" s="27">
        <f t="shared" si="36"/>
        <v>60</v>
      </c>
      <c r="U81" s="26">
        <f t="shared" si="1"/>
        <v>980.24445192307689</v>
      </c>
      <c r="V81" s="16">
        <f t="shared" si="58"/>
        <v>0.83350000000000368</v>
      </c>
      <c r="W81" s="28">
        <f t="shared" si="2"/>
        <v>511.65</v>
      </c>
      <c r="X81" s="29">
        <f t="shared" si="37"/>
        <v>27</v>
      </c>
      <c r="Y81" s="29">
        <f t="shared" si="38"/>
        <v>385</v>
      </c>
      <c r="Z81" s="29">
        <f t="shared" si="39"/>
        <v>412</v>
      </c>
      <c r="AA81" s="28">
        <f t="shared" si="40"/>
        <v>99.649999999999977</v>
      </c>
      <c r="AB81" s="28">
        <f t="shared" si="41"/>
        <v>127.91249999999999</v>
      </c>
      <c r="AC81" s="28">
        <f t="shared" si="3"/>
        <v>172.08750000000001</v>
      </c>
      <c r="AD81" s="28">
        <f t="shared" si="42"/>
        <v>129.06562500000001</v>
      </c>
      <c r="AE81" s="13">
        <f t="shared" si="4"/>
        <v>129.06562500000001</v>
      </c>
      <c r="AF81" s="13">
        <f t="shared" si="5"/>
        <v>0</v>
      </c>
      <c r="AG81" s="13">
        <f t="shared" si="43"/>
        <v>129.06562500000001</v>
      </c>
      <c r="AH81" s="28">
        <f t="shared" si="6"/>
        <v>231.81</v>
      </c>
      <c r="AI81" s="13">
        <f t="shared" si="7"/>
        <v>267.64999999999998</v>
      </c>
      <c r="AJ81" s="28">
        <f t="shared" si="8"/>
        <v>72.265500000000003</v>
      </c>
      <c r="AK81" s="13">
        <f t="shared" si="44"/>
        <v>159.5445</v>
      </c>
      <c r="AL81" s="47">
        <f t="shared" si="45"/>
        <v>20</v>
      </c>
      <c r="AM81" s="13" t="str">
        <f t="shared" si="46"/>
        <v>N</v>
      </c>
      <c r="AN81" s="13">
        <f t="shared" si="47"/>
        <v>0</v>
      </c>
      <c r="AO81" s="13" t="str">
        <f t="shared" si="48"/>
        <v>N</v>
      </c>
      <c r="AP81" s="13">
        <f t="shared" si="49"/>
        <v>72.5</v>
      </c>
      <c r="AQ81" s="13">
        <f t="shared" si="50"/>
        <v>0</v>
      </c>
      <c r="AR81" s="13">
        <f t="shared" si="51"/>
        <v>0</v>
      </c>
      <c r="AS81" s="9">
        <f t="shared" si="9"/>
        <v>2</v>
      </c>
      <c r="AT81" s="9">
        <f t="shared" si="10"/>
        <v>20</v>
      </c>
      <c r="AU81" s="9">
        <f t="shared" si="11"/>
        <v>0</v>
      </c>
      <c r="AV81" s="13">
        <f t="shared" si="12"/>
        <v>5.69</v>
      </c>
      <c r="AW81" s="13">
        <f t="shared" si="13"/>
        <v>0</v>
      </c>
      <c r="AX81" s="9">
        <f t="shared" si="14"/>
        <v>1</v>
      </c>
      <c r="AY81" s="9">
        <f t="shared" si="15"/>
        <v>0</v>
      </c>
      <c r="AZ81" s="28">
        <f t="shared" si="52"/>
        <v>0</v>
      </c>
      <c r="BA81" s="9">
        <f t="shared" si="16"/>
        <v>1</v>
      </c>
      <c r="BB81" s="9">
        <f t="shared" si="17"/>
        <v>0</v>
      </c>
      <c r="BC81" s="28">
        <f t="shared" si="53"/>
        <v>0</v>
      </c>
      <c r="BD81" s="28">
        <f t="shared" si="54"/>
        <v>0</v>
      </c>
      <c r="BE81" s="13">
        <f t="shared" si="55"/>
        <v>60</v>
      </c>
      <c r="BF81" s="13">
        <f t="shared" si="18"/>
        <v>0</v>
      </c>
      <c r="BG81" s="28">
        <f t="shared" si="56"/>
        <v>60</v>
      </c>
    </row>
    <row r="82" spans="1:59" x14ac:dyDescent="0.2">
      <c r="A82" s="8">
        <f t="shared" si="57"/>
        <v>41</v>
      </c>
      <c r="B82" s="26">
        <f t="shared" si="0"/>
        <v>820</v>
      </c>
      <c r="C82" s="26">
        <f t="shared" si="19"/>
        <v>0</v>
      </c>
      <c r="D82" s="26">
        <f t="shared" si="20"/>
        <v>820</v>
      </c>
      <c r="E82" s="27">
        <f t="shared" si="21"/>
        <v>85.649999999999977</v>
      </c>
      <c r="F82" s="26">
        <f t="shared" si="22"/>
        <v>905.65</v>
      </c>
      <c r="G82" s="26">
        <f t="shared" si="23"/>
        <v>47093.799999999996</v>
      </c>
      <c r="H82" s="26">
        <f t="shared" si="24"/>
        <v>7751.4149999999991</v>
      </c>
      <c r="I82" s="26">
        <f t="shared" si="25"/>
        <v>39342.384999999995</v>
      </c>
      <c r="J82" s="26">
        <f t="shared" si="26"/>
        <v>756.58432692307679</v>
      </c>
      <c r="K82" s="26">
        <f t="shared" si="27"/>
        <v>685.03190865888917</v>
      </c>
      <c r="L82" s="26">
        <f t="shared" si="28"/>
        <v>71.552418264187608</v>
      </c>
      <c r="M82" s="26">
        <f t="shared" si="29"/>
        <v>129.06562500000001</v>
      </c>
      <c r="N82" s="27">
        <f t="shared" si="30"/>
        <v>157.92450000000002</v>
      </c>
      <c r="O82" s="27">
        <f t="shared" si="31"/>
        <v>0</v>
      </c>
      <c r="P82" s="26">
        <f t="shared" si="32"/>
        <v>1043.5744519230768</v>
      </c>
      <c r="Q82" s="26">
        <f t="shared" si="33"/>
        <v>54265.871499999994</v>
      </c>
      <c r="R82" s="16">
        <f t="shared" si="34"/>
        <v>0.83350000000000368</v>
      </c>
      <c r="S82" s="26">
        <f t="shared" si="35"/>
        <v>68251.244999999995</v>
      </c>
      <c r="T82" s="27">
        <f t="shared" si="36"/>
        <v>60</v>
      </c>
      <c r="U82" s="26">
        <f t="shared" si="1"/>
        <v>983.57445192307682</v>
      </c>
      <c r="V82" s="16">
        <f t="shared" si="58"/>
        <v>0.83350000000000368</v>
      </c>
      <c r="W82" s="28">
        <f t="shared" si="2"/>
        <v>511.65</v>
      </c>
      <c r="X82" s="29">
        <f t="shared" si="37"/>
        <v>27</v>
      </c>
      <c r="Y82" s="29">
        <f t="shared" si="38"/>
        <v>399</v>
      </c>
      <c r="Z82" s="29">
        <f t="shared" si="39"/>
        <v>426</v>
      </c>
      <c r="AA82" s="28">
        <f t="shared" si="40"/>
        <v>85.649999999999977</v>
      </c>
      <c r="AB82" s="28">
        <f t="shared" si="41"/>
        <v>127.91249999999999</v>
      </c>
      <c r="AC82" s="28">
        <f t="shared" si="3"/>
        <v>172.08750000000001</v>
      </c>
      <c r="AD82" s="28">
        <f t="shared" si="42"/>
        <v>129.06562500000001</v>
      </c>
      <c r="AE82" s="13">
        <f t="shared" si="4"/>
        <v>129.06562500000001</v>
      </c>
      <c r="AF82" s="13">
        <f t="shared" si="5"/>
        <v>0</v>
      </c>
      <c r="AG82" s="13">
        <f t="shared" si="43"/>
        <v>129.06562500000001</v>
      </c>
      <c r="AH82" s="28">
        <f t="shared" si="6"/>
        <v>231.81</v>
      </c>
      <c r="AI82" s="13">
        <f t="shared" si="7"/>
        <v>273.64999999999998</v>
      </c>
      <c r="AJ82" s="28">
        <f t="shared" si="8"/>
        <v>73.885499999999993</v>
      </c>
      <c r="AK82" s="13">
        <f t="shared" si="44"/>
        <v>157.92450000000002</v>
      </c>
      <c r="AL82" s="47">
        <f t="shared" si="45"/>
        <v>20</v>
      </c>
      <c r="AM82" s="13" t="str">
        <f t="shared" si="46"/>
        <v>N</v>
      </c>
      <c r="AN82" s="13">
        <f t="shared" si="47"/>
        <v>0</v>
      </c>
      <c r="AO82" s="13" t="str">
        <f t="shared" si="48"/>
        <v>N</v>
      </c>
      <c r="AP82" s="13">
        <f t="shared" si="49"/>
        <v>72.5</v>
      </c>
      <c r="AQ82" s="13">
        <f t="shared" si="50"/>
        <v>0</v>
      </c>
      <c r="AR82" s="13">
        <f t="shared" si="51"/>
        <v>0</v>
      </c>
      <c r="AS82" s="9">
        <f t="shared" si="9"/>
        <v>2</v>
      </c>
      <c r="AT82" s="9">
        <f t="shared" si="10"/>
        <v>20</v>
      </c>
      <c r="AU82" s="9">
        <f t="shared" si="11"/>
        <v>0</v>
      </c>
      <c r="AV82" s="13">
        <f t="shared" si="12"/>
        <v>5.69</v>
      </c>
      <c r="AW82" s="13">
        <f t="shared" si="13"/>
        <v>0</v>
      </c>
      <c r="AX82" s="9">
        <f t="shared" si="14"/>
        <v>1</v>
      </c>
      <c r="AY82" s="9">
        <f t="shared" si="15"/>
        <v>0</v>
      </c>
      <c r="AZ82" s="28">
        <f t="shared" si="52"/>
        <v>0</v>
      </c>
      <c r="BA82" s="9">
        <f t="shared" si="16"/>
        <v>1</v>
      </c>
      <c r="BB82" s="9">
        <f t="shared" si="17"/>
        <v>0</v>
      </c>
      <c r="BC82" s="28">
        <f t="shared" si="53"/>
        <v>0</v>
      </c>
      <c r="BD82" s="28">
        <f t="shared" si="54"/>
        <v>0</v>
      </c>
      <c r="BE82" s="13">
        <f t="shared" si="55"/>
        <v>60</v>
      </c>
      <c r="BF82" s="13">
        <f t="shared" si="18"/>
        <v>0</v>
      </c>
      <c r="BG82" s="28">
        <f t="shared" si="56"/>
        <v>60</v>
      </c>
    </row>
    <row r="83" spans="1:59" x14ac:dyDescent="0.2">
      <c r="A83" s="8">
        <f t="shared" si="57"/>
        <v>42</v>
      </c>
      <c r="B83" s="26">
        <f t="shared" si="0"/>
        <v>840</v>
      </c>
      <c r="C83" s="26">
        <f t="shared" si="19"/>
        <v>0</v>
      </c>
      <c r="D83" s="26">
        <f t="shared" si="20"/>
        <v>840</v>
      </c>
      <c r="E83" s="27">
        <f t="shared" si="21"/>
        <v>71.649999999999977</v>
      </c>
      <c r="F83" s="26">
        <f t="shared" si="22"/>
        <v>911.65</v>
      </c>
      <c r="G83" s="26">
        <f t="shared" si="23"/>
        <v>47405.799999999996</v>
      </c>
      <c r="H83" s="26">
        <f t="shared" si="24"/>
        <v>7806.0149999999985</v>
      </c>
      <c r="I83" s="26">
        <f t="shared" si="25"/>
        <v>39599.784999999996</v>
      </c>
      <c r="J83" s="26">
        <f t="shared" si="26"/>
        <v>761.53432692307683</v>
      </c>
      <c r="K83" s="26">
        <f t="shared" si="27"/>
        <v>701.6824818904015</v>
      </c>
      <c r="L83" s="26">
        <f t="shared" si="28"/>
        <v>59.851845032675307</v>
      </c>
      <c r="M83" s="26">
        <f t="shared" si="29"/>
        <v>129.06562500000001</v>
      </c>
      <c r="N83" s="27">
        <f t="shared" si="30"/>
        <v>156.30450000000002</v>
      </c>
      <c r="O83" s="27">
        <f t="shared" si="31"/>
        <v>0</v>
      </c>
      <c r="P83" s="26">
        <f t="shared" si="32"/>
        <v>1046.9044519230767</v>
      </c>
      <c r="Q83" s="26">
        <f t="shared" si="33"/>
        <v>54439.03149999999</v>
      </c>
      <c r="R83" s="16">
        <f t="shared" si="34"/>
        <v>0.83350000000000368</v>
      </c>
      <c r="S83" s="26">
        <f t="shared" si="35"/>
        <v>68498.616428571419</v>
      </c>
      <c r="T83" s="27">
        <f t="shared" si="36"/>
        <v>60</v>
      </c>
      <c r="U83" s="26">
        <f t="shared" si="1"/>
        <v>986.90445192307675</v>
      </c>
      <c r="V83" s="16">
        <f t="shared" si="58"/>
        <v>0.83350000000000368</v>
      </c>
      <c r="W83" s="28">
        <f t="shared" si="2"/>
        <v>511.65</v>
      </c>
      <c r="X83" s="29">
        <f t="shared" si="37"/>
        <v>27</v>
      </c>
      <c r="Y83" s="29">
        <f t="shared" si="38"/>
        <v>413</v>
      </c>
      <c r="Z83" s="29">
        <f t="shared" si="39"/>
        <v>440</v>
      </c>
      <c r="AA83" s="28">
        <f t="shared" si="40"/>
        <v>71.649999999999977</v>
      </c>
      <c r="AB83" s="28">
        <f t="shared" si="41"/>
        <v>127.91249999999999</v>
      </c>
      <c r="AC83" s="28">
        <f t="shared" si="3"/>
        <v>172.08750000000001</v>
      </c>
      <c r="AD83" s="28">
        <f t="shared" si="42"/>
        <v>129.06562500000001</v>
      </c>
      <c r="AE83" s="13">
        <f t="shared" si="4"/>
        <v>129.06562500000001</v>
      </c>
      <c r="AF83" s="13">
        <f t="shared" si="5"/>
        <v>0</v>
      </c>
      <c r="AG83" s="13">
        <f t="shared" si="43"/>
        <v>129.06562500000001</v>
      </c>
      <c r="AH83" s="28">
        <f t="shared" si="6"/>
        <v>231.81</v>
      </c>
      <c r="AI83" s="13">
        <f t="shared" si="7"/>
        <v>279.64999999999998</v>
      </c>
      <c r="AJ83" s="28">
        <f t="shared" si="8"/>
        <v>75.505499999999998</v>
      </c>
      <c r="AK83" s="13">
        <f t="shared" si="44"/>
        <v>156.30450000000002</v>
      </c>
      <c r="AL83" s="47">
        <f t="shared" si="45"/>
        <v>20</v>
      </c>
      <c r="AM83" s="13" t="str">
        <f t="shared" si="46"/>
        <v>N</v>
      </c>
      <c r="AN83" s="13">
        <f t="shared" si="47"/>
        <v>0</v>
      </c>
      <c r="AO83" s="13" t="str">
        <f t="shared" si="48"/>
        <v>N</v>
      </c>
      <c r="AP83" s="13">
        <f t="shared" si="49"/>
        <v>72.5</v>
      </c>
      <c r="AQ83" s="13">
        <f t="shared" si="50"/>
        <v>0</v>
      </c>
      <c r="AR83" s="13">
        <f t="shared" si="51"/>
        <v>0</v>
      </c>
      <c r="AS83" s="9">
        <f t="shared" si="9"/>
        <v>2</v>
      </c>
      <c r="AT83" s="9">
        <f t="shared" si="10"/>
        <v>20</v>
      </c>
      <c r="AU83" s="9">
        <f t="shared" si="11"/>
        <v>0</v>
      </c>
      <c r="AV83" s="13">
        <f t="shared" si="12"/>
        <v>5.69</v>
      </c>
      <c r="AW83" s="13">
        <f t="shared" si="13"/>
        <v>0</v>
      </c>
      <c r="AX83" s="9">
        <f t="shared" si="14"/>
        <v>1</v>
      </c>
      <c r="AY83" s="9">
        <f t="shared" si="15"/>
        <v>0</v>
      </c>
      <c r="AZ83" s="28">
        <f t="shared" si="52"/>
        <v>0</v>
      </c>
      <c r="BA83" s="9">
        <f t="shared" si="16"/>
        <v>1</v>
      </c>
      <c r="BB83" s="9">
        <f t="shared" si="17"/>
        <v>0</v>
      </c>
      <c r="BC83" s="28">
        <f t="shared" si="53"/>
        <v>0</v>
      </c>
      <c r="BD83" s="28">
        <f t="shared" si="54"/>
        <v>0</v>
      </c>
      <c r="BE83" s="13">
        <f t="shared" si="55"/>
        <v>60</v>
      </c>
      <c r="BF83" s="13">
        <f t="shared" si="18"/>
        <v>0</v>
      </c>
      <c r="BG83" s="28">
        <f t="shared" si="56"/>
        <v>60</v>
      </c>
    </row>
    <row r="84" spans="1:59" x14ac:dyDescent="0.2">
      <c r="A84" s="8">
        <f t="shared" si="57"/>
        <v>43</v>
      </c>
      <c r="B84" s="26">
        <f t="shared" si="0"/>
        <v>860</v>
      </c>
      <c r="C84" s="26">
        <f t="shared" si="19"/>
        <v>0</v>
      </c>
      <c r="D84" s="26">
        <f t="shared" si="20"/>
        <v>860</v>
      </c>
      <c r="E84" s="27">
        <f t="shared" si="21"/>
        <v>57.649999999999977</v>
      </c>
      <c r="F84" s="26">
        <f t="shared" si="22"/>
        <v>917.65</v>
      </c>
      <c r="G84" s="26">
        <f t="shared" si="23"/>
        <v>47717.799999999996</v>
      </c>
      <c r="H84" s="26">
        <f t="shared" si="24"/>
        <v>7860.6149999999989</v>
      </c>
      <c r="I84" s="26">
        <f t="shared" si="25"/>
        <v>39857.184999999998</v>
      </c>
      <c r="J84" s="26">
        <f t="shared" si="26"/>
        <v>766.48432692307688</v>
      </c>
      <c r="K84" s="26">
        <f t="shared" si="27"/>
        <v>718.331086093659</v>
      </c>
      <c r="L84" s="26">
        <f t="shared" si="28"/>
        <v>48.153240829417932</v>
      </c>
      <c r="M84" s="26">
        <f t="shared" si="29"/>
        <v>129.06562500000001</v>
      </c>
      <c r="N84" s="27">
        <f t="shared" si="30"/>
        <v>154.68450000000001</v>
      </c>
      <c r="O84" s="27">
        <f t="shared" si="31"/>
        <v>0</v>
      </c>
      <c r="P84" s="26">
        <f t="shared" si="32"/>
        <v>1050.2344519230769</v>
      </c>
      <c r="Q84" s="26">
        <f t="shared" si="33"/>
        <v>54612.191500000001</v>
      </c>
      <c r="R84" s="16">
        <f t="shared" si="34"/>
        <v>0.83349999999999225</v>
      </c>
      <c r="S84" s="26">
        <f t="shared" si="35"/>
        <v>68745.987857142856</v>
      </c>
      <c r="T84" s="27">
        <f t="shared" si="36"/>
        <v>60</v>
      </c>
      <c r="U84" s="26">
        <f t="shared" si="1"/>
        <v>990.2344519230769</v>
      </c>
      <c r="V84" s="16">
        <f t="shared" si="58"/>
        <v>0.83349999999999225</v>
      </c>
      <c r="W84" s="28">
        <f t="shared" si="2"/>
        <v>511.65</v>
      </c>
      <c r="X84" s="29">
        <f t="shared" si="37"/>
        <v>27</v>
      </c>
      <c r="Y84" s="29">
        <f t="shared" si="38"/>
        <v>427</v>
      </c>
      <c r="Z84" s="29">
        <f t="shared" si="39"/>
        <v>454</v>
      </c>
      <c r="AA84" s="28">
        <f t="shared" si="40"/>
        <v>57.649999999999977</v>
      </c>
      <c r="AB84" s="28">
        <f t="shared" si="41"/>
        <v>127.91249999999999</v>
      </c>
      <c r="AC84" s="28">
        <f t="shared" si="3"/>
        <v>172.08750000000001</v>
      </c>
      <c r="AD84" s="28">
        <f t="shared" si="42"/>
        <v>129.06562500000001</v>
      </c>
      <c r="AE84" s="13">
        <f t="shared" si="4"/>
        <v>129.06562500000001</v>
      </c>
      <c r="AF84" s="13">
        <f t="shared" si="5"/>
        <v>0</v>
      </c>
      <c r="AG84" s="13">
        <f t="shared" si="43"/>
        <v>129.06562500000001</v>
      </c>
      <c r="AH84" s="28">
        <f t="shared" si="6"/>
        <v>231.81</v>
      </c>
      <c r="AI84" s="13">
        <f t="shared" si="7"/>
        <v>285.64999999999998</v>
      </c>
      <c r="AJ84" s="28">
        <f t="shared" si="8"/>
        <v>77.125500000000002</v>
      </c>
      <c r="AK84" s="13">
        <f t="shared" si="44"/>
        <v>154.68450000000001</v>
      </c>
      <c r="AL84" s="47">
        <f t="shared" si="45"/>
        <v>20</v>
      </c>
      <c r="AM84" s="13" t="str">
        <f t="shared" si="46"/>
        <v>N</v>
      </c>
      <c r="AN84" s="13">
        <f t="shared" si="47"/>
        <v>0</v>
      </c>
      <c r="AO84" s="13" t="str">
        <f t="shared" si="48"/>
        <v>N</v>
      </c>
      <c r="AP84" s="13">
        <f t="shared" si="49"/>
        <v>72.5</v>
      </c>
      <c r="AQ84" s="13">
        <f t="shared" si="50"/>
        <v>0</v>
      </c>
      <c r="AR84" s="13">
        <f t="shared" si="51"/>
        <v>0</v>
      </c>
      <c r="AS84" s="9">
        <f t="shared" si="9"/>
        <v>2</v>
      </c>
      <c r="AT84" s="9">
        <f t="shared" si="10"/>
        <v>20</v>
      </c>
      <c r="AU84" s="9">
        <f t="shared" si="11"/>
        <v>0</v>
      </c>
      <c r="AV84" s="13">
        <f t="shared" si="12"/>
        <v>5.69</v>
      </c>
      <c r="AW84" s="13">
        <f t="shared" si="13"/>
        <v>0</v>
      </c>
      <c r="AX84" s="9">
        <f t="shared" si="14"/>
        <v>1</v>
      </c>
      <c r="AY84" s="9">
        <f t="shared" si="15"/>
        <v>0</v>
      </c>
      <c r="AZ84" s="28">
        <f t="shared" si="52"/>
        <v>0</v>
      </c>
      <c r="BA84" s="9">
        <f t="shared" si="16"/>
        <v>1</v>
      </c>
      <c r="BB84" s="9">
        <f t="shared" si="17"/>
        <v>0</v>
      </c>
      <c r="BC84" s="28">
        <f t="shared" si="53"/>
        <v>0</v>
      </c>
      <c r="BD84" s="28">
        <f t="shared" si="54"/>
        <v>0</v>
      </c>
      <c r="BE84" s="13">
        <f t="shared" si="55"/>
        <v>60</v>
      </c>
      <c r="BF84" s="13">
        <f t="shared" si="18"/>
        <v>0</v>
      </c>
      <c r="BG84" s="28">
        <f t="shared" si="56"/>
        <v>60</v>
      </c>
    </row>
    <row r="85" spans="1:59" x14ac:dyDescent="0.2">
      <c r="A85" s="8">
        <f t="shared" si="57"/>
        <v>44</v>
      </c>
      <c r="B85" s="26">
        <f t="shared" si="0"/>
        <v>880</v>
      </c>
      <c r="C85" s="26">
        <f t="shared" si="19"/>
        <v>0</v>
      </c>
      <c r="D85" s="26">
        <f t="shared" si="20"/>
        <v>880</v>
      </c>
      <c r="E85" s="27">
        <f t="shared" si="21"/>
        <v>43.649999999999977</v>
      </c>
      <c r="F85" s="26">
        <f t="shared" si="22"/>
        <v>923.65</v>
      </c>
      <c r="G85" s="26">
        <f t="shared" si="23"/>
        <v>48029.799999999996</v>
      </c>
      <c r="H85" s="26">
        <f t="shared" si="24"/>
        <v>7918.9399999999987</v>
      </c>
      <c r="I85" s="26">
        <f t="shared" si="25"/>
        <v>40110.86</v>
      </c>
      <c r="J85" s="26">
        <f t="shared" si="26"/>
        <v>771.36269230769233</v>
      </c>
      <c r="K85" s="26">
        <f t="shared" si="27"/>
        <v>734.90951034566046</v>
      </c>
      <c r="L85" s="26">
        <f t="shared" si="28"/>
        <v>36.453181962031884</v>
      </c>
      <c r="M85" s="26">
        <f t="shared" si="29"/>
        <v>129.06562500000001</v>
      </c>
      <c r="N85" s="27">
        <f t="shared" si="30"/>
        <v>153.06450000000001</v>
      </c>
      <c r="O85" s="27">
        <f t="shared" si="31"/>
        <v>0</v>
      </c>
      <c r="P85" s="26">
        <f t="shared" si="32"/>
        <v>1053.4928173076923</v>
      </c>
      <c r="Q85" s="26">
        <f t="shared" si="33"/>
        <v>54781.626499999998</v>
      </c>
      <c r="R85" s="16">
        <f t="shared" si="34"/>
        <v>0.83708173076922776</v>
      </c>
      <c r="S85" s="26">
        <f t="shared" si="35"/>
        <v>68988.037857142859</v>
      </c>
      <c r="T85" s="27">
        <f t="shared" si="36"/>
        <v>60</v>
      </c>
      <c r="U85" s="26">
        <f t="shared" si="1"/>
        <v>993.49281730769235</v>
      </c>
      <c r="V85" s="16">
        <f t="shared" si="58"/>
        <v>0.83708173076922776</v>
      </c>
      <c r="W85" s="28">
        <f t="shared" si="2"/>
        <v>511.65</v>
      </c>
      <c r="X85" s="29">
        <f t="shared" si="37"/>
        <v>27</v>
      </c>
      <c r="Y85" s="29">
        <f t="shared" si="38"/>
        <v>441</v>
      </c>
      <c r="Z85" s="29">
        <f t="shared" si="39"/>
        <v>468</v>
      </c>
      <c r="AA85" s="28">
        <f t="shared" si="40"/>
        <v>43.649999999999977</v>
      </c>
      <c r="AB85" s="28">
        <f t="shared" si="41"/>
        <v>127.91249999999999</v>
      </c>
      <c r="AC85" s="28">
        <f t="shared" si="3"/>
        <v>172.08750000000001</v>
      </c>
      <c r="AD85" s="28">
        <f t="shared" si="42"/>
        <v>129.06562500000001</v>
      </c>
      <c r="AE85" s="13">
        <f t="shared" si="4"/>
        <v>129.06562500000001</v>
      </c>
      <c r="AF85" s="13">
        <f t="shared" si="5"/>
        <v>0</v>
      </c>
      <c r="AG85" s="13">
        <f t="shared" si="43"/>
        <v>129.06562500000001</v>
      </c>
      <c r="AH85" s="28">
        <f t="shared" si="6"/>
        <v>231.81</v>
      </c>
      <c r="AI85" s="13">
        <f t="shared" si="7"/>
        <v>291.64999999999998</v>
      </c>
      <c r="AJ85" s="28">
        <f t="shared" si="8"/>
        <v>78.745499999999993</v>
      </c>
      <c r="AK85" s="13">
        <f t="shared" si="44"/>
        <v>153.06450000000001</v>
      </c>
      <c r="AL85" s="47">
        <f t="shared" si="45"/>
        <v>20</v>
      </c>
      <c r="AM85" s="13" t="str">
        <f t="shared" si="46"/>
        <v>N</v>
      </c>
      <c r="AN85" s="13">
        <f t="shared" si="47"/>
        <v>0</v>
      </c>
      <c r="AO85" s="13" t="str">
        <f t="shared" si="48"/>
        <v>N</v>
      </c>
      <c r="AP85" s="13">
        <f t="shared" si="49"/>
        <v>72.5</v>
      </c>
      <c r="AQ85" s="13">
        <f t="shared" si="50"/>
        <v>0</v>
      </c>
      <c r="AR85" s="13">
        <f t="shared" si="51"/>
        <v>0</v>
      </c>
      <c r="AS85" s="9">
        <f t="shared" si="9"/>
        <v>2</v>
      </c>
      <c r="AT85" s="9">
        <f t="shared" si="10"/>
        <v>20</v>
      </c>
      <c r="AU85" s="9">
        <f t="shared" si="11"/>
        <v>0</v>
      </c>
      <c r="AV85" s="13">
        <f t="shared" si="12"/>
        <v>5.69</v>
      </c>
      <c r="AW85" s="13">
        <f t="shared" si="13"/>
        <v>0</v>
      </c>
      <c r="AX85" s="9">
        <f t="shared" si="14"/>
        <v>1</v>
      </c>
      <c r="AY85" s="9">
        <f t="shared" si="15"/>
        <v>0</v>
      </c>
      <c r="AZ85" s="28">
        <f t="shared" si="52"/>
        <v>0</v>
      </c>
      <c r="BA85" s="9">
        <f t="shared" si="16"/>
        <v>1</v>
      </c>
      <c r="BB85" s="9">
        <f t="shared" si="17"/>
        <v>0</v>
      </c>
      <c r="BC85" s="28">
        <f t="shared" si="53"/>
        <v>0</v>
      </c>
      <c r="BD85" s="28">
        <f t="shared" si="54"/>
        <v>0</v>
      </c>
      <c r="BE85" s="13">
        <f t="shared" si="55"/>
        <v>60</v>
      </c>
      <c r="BF85" s="13">
        <f t="shared" si="18"/>
        <v>0</v>
      </c>
      <c r="BG85" s="28">
        <f t="shared" si="56"/>
        <v>60</v>
      </c>
    </row>
    <row r="86" spans="1:59" x14ac:dyDescent="0.2">
      <c r="A86" s="8">
        <f t="shared" si="57"/>
        <v>45</v>
      </c>
      <c r="B86" s="26">
        <f t="shared" si="0"/>
        <v>900</v>
      </c>
      <c r="C86" s="26">
        <f t="shared" si="19"/>
        <v>0</v>
      </c>
      <c r="D86" s="26">
        <f t="shared" si="20"/>
        <v>900</v>
      </c>
      <c r="E86" s="27">
        <f t="shared" si="21"/>
        <v>29.650000000000034</v>
      </c>
      <c r="F86" s="26">
        <f t="shared" si="22"/>
        <v>929.65000000000009</v>
      </c>
      <c r="G86" s="26">
        <f t="shared" si="23"/>
        <v>48341.8</v>
      </c>
      <c r="H86" s="26">
        <f t="shared" si="24"/>
        <v>8012.5400000000009</v>
      </c>
      <c r="I86" s="26">
        <f t="shared" si="25"/>
        <v>40329.26</v>
      </c>
      <c r="J86" s="26">
        <f t="shared" si="26"/>
        <v>775.56269230769237</v>
      </c>
      <c r="K86" s="26">
        <f t="shared" si="27"/>
        <v>750.82711028550864</v>
      </c>
      <c r="L86" s="26">
        <f t="shared" si="28"/>
        <v>24.735582022183724</v>
      </c>
      <c r="M86" s="26">
        <f t="shared" si="29"/>
        <v>129.06562500000001</v>
      </c>
      <c r="N86" s="27">
        <f t="shared" si="30"/>
        <v>151.44449999999998</v>
      </c>
      <c r="O86" s="27">
        <f t="shared" si="31"/>
        <v>0</v>
      </c>
      <c r="P86" s="26">
        <f t="shared" si="32"/>
        <v>1056.0728173076925</v>
      </c>
      <c r="Q86" s="26">
        <f t="shared" si="33"/>
        <v>54915.786500000009</v>
      </c>
      <c r="R86" s="16">
        <f t="shared" si="34"/>
        <v>0.87099999999999222</v>
      </c>
      <c r="S86" s="26">
        <f t="shared" si="35"/>
        <v>70085.786500000017</v>
      </c>
      <c r="T86" s="27">
        <f t="shared" si="36"/>
        <v>60</v>
      </c>
      <c r="U86" s="26">
        <f t="shared" si="1"/>
        <v>996.0728173076925</v>
      </c>
      <c r="V86" s="16">
        <f t="shared" si="58"/>
        <v>0.87099999999999222</v>
      </c>
      <c r="W86" s="28">
        <f t="shared" si="2"/>
        <v>511.65</v>
      </c>
      <c r="X86" s="29">
        <f t="shared" si="37"/>
        <v>27</v>
      </c>
      <c r="Y86" s="29">
        <f t="shared" si="38"/>
        <v>454.99999999999994</v>
      </c>
      <c r="Z86" s="29">
        <f t="shared" si="39"/>
        <v>481.99999999999994</v>
      </c>
      <c r="AA86" s="28">
        <f t="shared" si="40"/>
        <v>29.650000000000034</v>
      </c>
      <c r="AB86" s="28">
        <f t="shared" si="41"/>
        <v>127.91249999999999</v>
      </c>
      <c r="AC86" s="28">
        <f t="shared" si="3"/>
        <v>172.08750000000001</v>
      </c>
      <c r="AD86" s="28">
        <f t="shared" si="42"/>
        <v>129.06562500000001</v>
      </c>
      <c r="AE86" s="13">
        <f t="shared" si="4"/>
        <v>129.06562500000001</v>
      </c>
      <c r="AF86" s="13">
        <f t="shared" si="5"/>
        <v>0</v>
      </c>
      <c r="AG86" s="13">
        <f t="shared" si="43"/>
        <v>129.06562500000001</v>
      </c>
      <c r="AH86" s="28">
        <f t="shared" si="6"/>
        <v>231.81</v>
      </c>
      <c r="AI86" s="13">
        <f t="shared" si="7"/>
        <v>297.65000000000009</v>
      </c>
      <c r="AJ86" s="28">
        <f t="shared" si="8"/>
        <v>80.365500000000026</v>
      </c>
      <c r="AK86" s="13">
        <f t="shared" si="44"/>
        <v>151.44449999999998</v>
      </c>
      <c r="AL86" s="47">
        <f t="shared" si="45"/>
        <v>20</v>
      </c>
      <c r="AM86" s="13" t="str">
        <f t="shared" si="46"/>
        <v>N</v>
      </c>
      <c r="AN86" s="13">
        <f t="shared" si="47"/>
        <v>0</v>
      </c>
      <c r="AO86" s="13" t="str">
        <f t="shared" si="48"/>
        <v>N</v>
      </c>
      <c r="AP86" s="13">
        <f t="shared" si="49"/>
        <v>72.5</v>
      </c>
      <c r="AQ86" s="13">
        <f t="shared" si="50"/>
        <v>0</v>
      </c>
      <c r="AR86" s="13">
        <f t="shared" si="51"/>
        <v>0</v>
      </c>
      <c r="AS86" s="9">
        <f t="shared" si="9"/>
        <v>2</v>
      </c>
      <c r="AT86" s="9">
        <f t="shared" si="10"/>
        <v>20</v>
      </c>
      <c r="AU86" s="9">
        <f t="shared" si="11"/>
        <v>0</v>
      </c>
      <c r="AV86" s="13">
        <f t="shared" si="12"/>
        <v>5.69</v>
      </c>
      <c r="AW86" s="13">
        <f t="shared" si="13"/>
        <v>0</v>
      </c>
      <c r="AX86" s="9">
        <f t="shared" si="14"/>
        <v>1</v>
      </c>
      <c r="AY86" s="9">
        <f t="shared" si="15"/>
        <v>0</v>
      </c>
      <c r="AZ86" s="28">
        <f t="shared" si="52"/>
        <v>0</v>
      </c>
      <c r="BA86" s="9">
        <f t="shared" si="16"/>
        <v>1</v>
      </c>
      <c r="BB86" s="9">
        <f t="shared" si="17"/>
        <v>0</v>
      </c>
      <c r="BC86" s="28">
        <f t="shared" si="53"/>
        <v>0</v>
      </c>
      <c r="BD86" s="28">
        <f t="shared" si="54"/>
        <v>0</v>
      </c>
      <c r="BE86" s="13">
        <f t="shared" si="55"/>
        <v>60</v>
      </c>
      <c r="BF86" s="13">
        <f t="shared" si="18"/>
        <v>0</v>
      </c>
      <c r="BG86" s="28">
        <f t="shared" si="56"/>
        <v>60</v>
      </c>
    </row>
    <row r="87" spans="1:59" x14ac:dyDescent="0.2">
      <c r="A87" s="8">
        <f t="shared" si="57"/>
        <v>46</v>
      </c>
      <c r="B87" s="26">
        <f t="shared" si="0"/>
        <v>920</v>
      </c>
      <c r="C87" s="26">
        <f t="shared" si="19"/>
        <v>0</v>
      </c>
      <c r="D87" s="26">
        <f t="shared" si="20"/>
        <v>920</v>
      </c>
      <c r="E87" s="27">
        <f t="shared" si="21"/>
        <v>15.650000000000034</v>
      </c>
      <c r="F87" s="26">
        <f t="shared" si="22"/>
        <v>935.65000000000009</v>
      </c>
      <c r="G87" s="26">
        <f t="shared" si="23"/>
        <v>48653.8</v>
      </c>
      <c r="H87" s="26">
        <f t="shared" si="24"/>
        <v>8106.1400000000012</v>
      </c>
      <c r="I87" s="26">
        <f t="shared" si="25"/>
        <v>40547.660000000003</v>
      </c>
      <c r="J87" s="26">
        <f t="shared" si="26"/>
        <v>779.76269230769242</v>
      </c>
      <c r="K87" s="26">
        <f t="shared" si="27"/>
        <v>766.72011641433971</v>
      </c>
      <c r="L87" s="26">
        <f t="shared" si="28"/>
        <v>13.042575893352655</v>
      </c>
      <c r="M87" s="26">
        <f t="shared" si="29"/>
        <v>129.06562500000001</v>
      </c>
      <c r="N87" s="27">
        <f t="shared" si="30"/>
        <v>149.82449999999997</v>
      </c>
      <c r="O87" s="27">
        <f t="shared" si="31"/>
        <v>0</v>
      </c>
      <c r="P87" s="26">
        <f t="shared" si="32"/>
        <v>1058.6528173076924</v>
      </c>
      <c r="Q87" s="26">
        <f t="shared" si="33"/>
        <v>55049.946500000005</v>
      </c>
      <c r="R87" s="16">
        <f t="shared" si="34"/>
        <v>0.87100000000000366</v>
      </c>
      <c r="S87" s="26">
        <f t="shared" si="35"/>
        <v>70219.946500000005</v>
      </c>
      <c r="T87" s="27">
        <f t="shared" si="36"/>
        <v>60</v>
      </c>
      <c r="U87" s="26">
        <f t="shared" si="1"/>
        <v>998.65281730769243</v>
      </c>
      <c r="V87" s="16">
        <f t="shared" si="58"/>
        <v>0.87100000000000366</v>
      </c>
      <c r="W87" s="28">
        <f t="shared" si="2"/>
        <v>511.65</v>
      </c>
      <c r="X87" s="29">
        <f t="shared" si="37"/>
        <v>27</v>
      </c>
      <c r="Y87" s="29">
        <f t="shared" si="38"/>
        <v>468.99999999999994</v>
      </c>
      <c r="Z87" s="29">
        <f t="shared" si="39"/>
        <v>495.99999999999994</v>
      </c>
      <c r="AA87" s="28">
        <f t="shared" si="40"/>
        <v>15.650000000000034</v>
      </c>
      <c r="AB87" s="28">
        <f t="shared" si="41"/>
        <v>127.91249999999999</v>
      </c>
      <c r="AC87" s="28">
        <f t="shared" si="3"/>
        <v>172.08750000000001</v>
      </c>
      <c r="AD87" s="28">
        <f t="shared" si="42"/>
        <v>129.06562500000001</v>
      </c>
      <c r="AE87" s="13">
        <f t="shared" si="4"/>
        <v>129.06562500000001</v>
      </c>
      <c r="AF87" s="13">
        <f t="shared" si="5"/>
        <v>0</v>
      </c>
      <c r="AG87" s="13">
        <f t="shared" si="43"/>
        <v>129.06562500000001</v>
      </c>
      <c r="AH87" s="28">
        <f t="shared" si="6"/>
        <v>231.81</v>
      </c>
      <c r="AI87" s="13">
        <f t="shared" si="7"/>
        <v>303.65000000000009</v>
      </c>
      <c r="AJ87" s="28">
        <f t="shared" si="8"/>
        <v>81.98550000000003</v>
      </c>
      <c r="AK87" s="13">
        <f t="shared" si="44"/>
        <v>149.82449999999997</v>
      </c>
      <c r="AL87" s="47">
        <f t="shared" si="45"/>
        <v>20</v>
      </c>
      <c r="AM87" s="13" t="str">
        <f t="shared" si="46"/>
        <v>N</v>
      </c>
      <c r="AN87" s="13">
        <f t="shared" si="47"/>
        <v>0</v>
      </c>
      <c r="AO87" s="13" t="str">
        <f t="shared" si="48"/>
        <v>N</v>
      </c>
      <c r="AP87" s="13">
        <f t="shared" si="49"/>
        <v>72.5</v>
      </c>
      <c r="AQ87" s="13">
        <f t="shared" si="50"/>
        <v>0</v>
      </c>
      <c r="AR87" s="13">
        <f t="shared" si="51"/>
        <v>0</v>
      </c>
      <c r="AS87" s="9">
        <f t="shared" si="9"/>
        <v>2</v>
      </c>
      <c r="AT87" s="9">
        <f t="shared" si="10"/>
        <v>20</v>
      </c>
      <c r="AU87" s="9">
        <f t="shared" si="11"/>
        <v>0</v>
      </c>
      <c r="AV87" s="13">
        <f t="shared" si="12"/>
        <v>5.69</v>
      </c>
      <c r="AW87" s="13">
        <f t="shared" si="13"/>
        <v>0</v>
      </c>
      <c r="AX87" s="9">
        <f t="shared" si="14"/>
        <v>1</v>
      </c>
      <c r="AY87" s="9">
        <f t="shared" si="15"/>
        <v>0</v>
      </c>
      <c r="AZ87" s="28">
        <f t="shared" si="52"/>
        <v>0</v>
      </c>
      <c r="BA87" s="9">
        <f t="shared" si="16"/>
        <v>1</v>
      </c>
      <c r="BB87" s="9">
        <f t="shared" si="17"/>
        <v>0</v>
      </c>
      <c r="BC87" s="28">
        <f t="shared" si="53"/>
        <v>0</v>
      </c>
      <c r="BD87" s="28">
        <f t="shared" si="54"/>
        <v>0</v>
      </c>
      <c r="BE87" s="13">
        <f t="shared" si="55"/>
        <v>60</v>
      </c>
      <c r="BF87" s="13">
        <f t="shared" si="18"/>
        <v>0</v>
      </c>
      <c r="BG87" s="28">
        <f t="shared" si="56"/>
        <v>60</v>
      </c>
    </row>
    <row r="88" spans="1:59" x14ac:dyDescent="0.2">
      <c r="A88" s="8">
        <f t="shared" si="57"/>
        <v>47</v>
      </c>
      <c r="B88" s="26">
        <f t="shared" si="0"/>
        <v>940</v>
      </c>
      <c r="C88" s="26">
        <f t="shared" si="19"/>
        <v>0</v>
      </c>
      <c r="D88" s="26">
        <f t="shared" si="20"/>
        <v>940</v>
      </c>
      <c r="E88" s="27">
        <f t="shared" si="21"/>
        <v>1.6500000000000341</v>
      </c>
      <c r="F88" s="26">
        <f t="shared" si="22"/>
        <v>941.65000000000009</v>
      </c>
      <c r="G88" s="26">
        <f t="shared" si="23"/>
        <v>48965.8</v>
      </c>
      <c r="H88" s="26">
        <f t="shared" si="24"/>
        <v>8199.7400000000016</v>
      </c>
      <c r="I88" s="26">
        <f t="shared" si="25"/>
        <v>40766.06</v>
      </c>
      <c r="J88" s="26">
        <f t="shared" si="26"/>
        <v>783.96269230769224</v>
      </c>
      <c r="K88" s="26">
        <f t="shared" si="27"/>
        <v>782.58899885226003</v>
      </c>
      <c r="L88" s="26">
        <f t="shared" si="28"/>
        <v>1.3736934554321869</v>
      </c>
      <c r="M88" s="26">
        <f t="shared" si="29"/>
        <v>129.06562500000001</v>
      </c>
      <c r="N88" s="27">
        <f t="shared" si="30"/>
        <v>148.20449999999997</v>
      </c>
      <c r="O88" s="27">
        <f t="shared" si="31"/>
        <v>0</v>
      </c>
      <c r="P88" s="26">
        <f t="shared" si="32"/>
        <v>1061.2328173076924</v>
      </c>
      <c r="Q88" s="26">
        <f t="shared" si="33"/>
        <v>55184.106500000002</v>
      </c>
      <c r="R88" s="16">
        <f t="shared" si="34"/>
        <v>0.87100000000000366</v>
      </c>
      <c r="S88" s="26">
        <f t="shared" si="35"/>
        <v>70354.106499999994</v>
      </c>
      <c r="T88" s="27">
        <f t="shared" si="36"/>
        <v>60</v>
      </c>
      <c r="U88" s="26">
        <f t="shared" si="1"/>
        <v>1001.2328173076924</v>
      </c>
      <c r="V88" s="16">
        <f t="shared" si="58"/>
        <v>0.87100000000000366</v>
      </c>
      <c r="W88" s="28">
        <f t="shared" si="2"/>
        <v>511.65</v>
      </c>
      <c r="X88" s="29">
        <f t="shared" si="37"/>
        <v>27</v>
      </c>
      <c r="Y88" s="29">
        <f t="shared" si="38"/>
        <v>482.99999999999994</v>
      </c>
      <c r="Z88" s="29">
        <f t="shared" si="39"/>
        <v>509.99999999999994</v>
      </c>
      <c r="AA88" s="28">
        <f t="shared" si="40"/>
        <v>1.6500000000000341</v>
      </c>
      <c r="AB88" s="28">
        <f t="shared" si="41"/>
        <v>127.91249999999999</v>
      </c>
      <c r="AC88" s="28">
        <f t="shared" si="3"/>
        <v>172.08750000000001</v>
      </c>
      <c r="AD88" s="28">
        <f t="shared" si="42"/>
        <v>129.06562500000001</v>
      </c>
      <c r="AE88" s="13">
        <f t="shared" si="4"/>
        <v>129.06562500000001</v>
      </c>
      <c r="AF88" s="13">
        <f t="shared" si="5"/>
        <v>0</v>
      </c>
      <c r="AG88" s="13">
        <f t="shared" si="43"/>
        <v>129.06562500000001</v>
      </c>
      <c r="AH88" s="28">
        <f t="shared" si="6"/>
        <v>231.81</v>
      </c>
      <c r="AI88" s="13">
        <f t="shared" si="7"/>
        <v>309.65000000000009</v>
      </c>
      <c r="AJ88" s="28">
        <f t="shared" si="8"/>
        <v>83.605500000000035</v>
      </c>
      <c r="AK88" s="13">
        <f t="shared" si="44"/>
        <v>148.20449999999997</v>
      </c>
      <c r="AL88" s="47">
        <f t="shared" si="45"/>
        <v>20</v>
      </c>
      <c r="AM88" s="13" t="str">
        <f t="shared" si="46"/>
        <v>N</v>
      </c>
      <c r="AN88" s="13">
        <f t="shared" si="47"/>
        <v>0</v>
      </c>
      <c r="AO88" s="13" t="str">
        <f t="shared" si="48"/>
        <v>N</v>
      </c>
      <c r="AP88" s="13">
        <f t="shared" si="49"/>
        <v>72.5</v>
      </c>
      <c r="AQ88" s="13">
        <f t="shared" si="50"/>
        <v>0</v>
      </c>
      <c r="AR88" s="13">
        <f t="shared" si="51"/>
        <v>0</v>
      </c>
      <c r="AS88" s="9">
        <f t="shared" si="9"/>
        <v>2</v>
      </c>
      <c r="AT88" s="9">
        <f t="shared" si="10"/>
        <v>20</v>
      </c>
      <c r="AU88" s="9">
        <f t="shared" si="11"/>
        <v>0</v>
      </c>
      <c r="AV88" s="13">
        <f t="shared" si="12"/>
        <v>5.69</v>
      </c>
      <c r="AW88" s="13">
        <f t="shared" si="13"/>
        <v>0</v>
      </c>
      <c r="AX88" s="9">
        <f t="shared" si="14"/>
        <v>1</v>
      </c>
      <c r="AY88" s="9">
        <f t="shared" si="15"/>
        <v>0</v>
      </c>
      <c r="AZ88" s="28">
        <f t="shared" si="52"/>
        <v>0</v>
      </c>
      <c r="BA88" s="9">
        <f t="shared" si="16"/>
        <v>1</v>
      </c>
      <c r="BB88" s="9">
        <f t="shared" si="17"/>
        <v>0</v>
      </c>
      <c r="BC88" s="28">
        <f t="shared" si="53"/>
        <v>0</v>
      </c>
      <c r="BD88" s="28">
        <f t="shared" si="54"/>
        <v>0</v>
      </c>
      <c r="BE88" s="13">
        <f t="shared" si="55"/>
        <v>60</v>
      </c>
      <c r="BF88" s="13">
        <f t="shared" si="18"/>
        <v>0</v>
      </c>
      <c r="BG88" s="28">
        <f t="shared" si="56"/>
        <v>60</v>
      </c>
    </row>
    <row r="89" spans="1:59" x14ac:dyDescent="0.2">
      <c r="A89" s="8">
        <f t="shared" si="57"/>
        <v>48</v>
      </c>
      <c r="B89" s="26">
        <f t="shared" si="0"/>
        <v>960</v>
      </c>
      <c r="C89" s="26">
        <f t="shared" si="19"/>
        <v>0</v>
      </c>
      <c r="D89" s="26">
        <f t="shared" si="20"/>
        <v>960</v>
      </c>
      <c r="E89" s="27">
        <f t="shared" si="21"/>
        <v>0</v>
      </c>
      <c r="F89" s="26">
        <f t="shared" si="22"/>
        <v>960</v>
      </c>
      <c r="G89" s="26">
        <f t="shared" si="23"/>
        <v>49920</v>
      </c>
      <c r="H89" s="26">
        <f t="shared" si="24"/>
        <v>8486</v>
      </c>
      <c r="I89" s="26">
        <f t="shared" si="25"/>
        <v>41434</v>
      </c>
      <c r="J89" s="26">
        <f t="shared" si="26"/>
        <v>796.80769230769226</v>
      </c>
      <c r="K89" s="26">
        <f t="shared" si="27"/>
        <v>796.80769230769226</v>
      </c>
      <c r="L89" s="26">
        <f t="shared" si="28"/>
        <v>0</v>
      </c>
      <c r="M89" s="26">
        <f t="shared" si="29"/>
        <v>124.65491071428573</v>
      </c>
      <c r="N89" s="27">
        <f t="shared" si="30"/>
        <v>215.75</v>
      </c>
      <c r="O89" s="27">
        <f t="shared" si="31"/>
        <v>0</v>
      </c>
      <c r="P89" s="26">
        <f t="shared" si="32"/>
        <v>1137.2126030219779</v>
      </c>
      <c r="Q89" s="26">
        <f t="shared" si="33"/>
        <v>59135.055357142846</v>
      </c>
      <c r="R89" s="16">
        <f t="shared" si="34"/>
        <v>-2.7989892857142764</v>
      </c>
      <c r="S89" s="26">
        <f t="shared" si="35"/>
        <v>74305.055357142846</v>
      </c>
      <c r="T89" s="27">
        <f t="shared" si="36"/>
        <v>60</v>
      </c>
      <c r="U89" s="26">
        <f t="shared" si="1"/>
        <v>1077.2126030219779</v>
      </c>
      <c r="V89" s="16">
        <f t="shared" si="58"/>
        <v>-2.7989892857142764</v>
      </c>
      <c r="W89" s="28">
        <f t="shared" si="2"/>
        <v>511.65</v>
      </c>
      <c r="X89" s="29">
        <f t="shared" si="37"/>
        <v>27</v>
      </c>
      <c r="Y89" s="29">
        <f t="shared" si="38"/>
        <v>496.99999999999994</v>
      </c>
      <c r="Z89" s="29">
        <f t="shared" si="39"/>
        <v>511.65</v>
      </c>
      <c r="AA89" s="28">
        <f t="shared" si="40"/>
        <v>0</v>
      </c>
      <c r="AB89" s="28">
        <f t="shared" si="41"/>
        <v>127.91249999999999</v>
      </c>
      <c r="AC89" s="28">
        <f t="shared" si="3"/>
        <v>172.08750000000001</v>
      </c>
      <c r="AD89" s="28">
        <f t="shared" si="42"/>
        <v>129.06562500000001</v>
      </c>
      <c r="AE89" s="13">
        <f t="shared" si="4"/>
        <v>129.06562500000001</v>
      </c>
      <c r="AF89" s="13">
        <f t="shared" si="5"/>
        <v>17.64285714285711</v>
      </c>
      <c r="AG89" s="13">
        <f t="shared" si="43"/>
        <v>124.65491071428573</v>
      </c>
      <c r="AH89" s="28">
        <f t="shared" si="6"/>
        <v>231.81</v>
      </c>
      <c r="AI89" s="13">
        <f t="shared" si="7"/>
        <v>328</v>
      </c>
      <c r="AJ89" s="28">
        <f t="shared" si="8"/>
        <v>88.56</v>
      </c>
      <c r="AK89" s="13">
        <f t="shared" si="44"/>
        <v>143.25</v>
      </c>
      <c r="AL89" s="47">
        <f t="shared" si="45"/>
        <v>20</v>
      </c>
      <c r="AM89" s="13" t="str">
        <f t="shared" si="46"/>
        <v>N</v>
      </c>
      <c r="AN89" s="13">
        <f t="shared" si="47"/>
        <v>0</v>
      </c>
      <c r="AO89" s="13" t="str">
        <f t="shared" si="48"/>
        <v>Y</v>
      </c>
      <c r="AP89" s="13">
        <f t="shared" si="49"/>
        <v>72.5</v>
      </c>
      <c r="AQ89" s="13">
        <f t="shared" si="50"/>
        <v>0</v>
      </c>
      <c r="AR89" s="13">
        <f t="shared" si="51"/>
        <v>72.5</v>
      </c>
      <c r="AS89" s="9">
        <f t="shared" si="9"/>
        <v>2</v>
      </c>
      <c r="AT89" s="9">
        <f t="shared" si="10"/>
        <v>20</v>
      </c>
      <c r="AU89" s="9">
        <f t="shared" si="11"/>
        <v>0</v>
      </c>
      <c r="AV89" s="13">
        <f t="shared" si="12"/>
        <v>5.69</v>
      </c>
      <c r="AW89" s="13">
        <f t="shared" si="13"/>
        <v>0</v>
      </c>
      <c r="AX89" s="9">
        <f t="shared" si="14"/>
        <v>1</v>
      </c>
      <c r="AY89" s="9">
        <f t="shared" si="15"/>
        <v>0</v>
      </c>
      <c r="AZ89" s="28">
        <f t="shared" si="52"/>
        <v>0</v>
      </c>
      <c r="BA89" s="9">
        <f t="shared" si="16"/>
        <v>1</v>
      </c>
      <c r="BB89" s="9">
        <f t="shared" si="17"/>
        <v>0</v>
      </c>
      <c r="BC89" s="28">
        <f t="shared" si="53"/>
        <v>0</v>
      </c>
      <c r="BD89" s="28">
        <f t="shared" si="54"/>
        <v>0</v>
      </c>
      <c r="BE89" s="13">
        <f t="shared" si="55"/>
        <v>60</v>
      </c>
      <c r="BF89" s="13">
        <f t="shared" si="18"/>
        <v>0</v>
      </c>
      <c r="BG89" s="28">
        <f t="shared" si="56"/>
        <v>60</v>
      </c>
    </row>
    <row r="90" spans="1:59" x14ac:dyDescent="0.2">
      <c r="A90" s="8">
        <f t="shared" si="57"/>
        <v>49</v>
      </c>
      <c r="B90" s="26">
        <f t="shared" si="0"/>
        <v>980</v>
      </c>
      <c r="C90" s="26">
        <f t="shared" si="19"/>
        <v>0</v>
      </c>
      <c r="D90" s="26">
        <f t="shared" si="20"/>
        <v>980</v>
      </c>
      <c r="E90" s="27">
        <f t="shared" si="21"/>
        <v>0</v>
      </c>
      <c r="F90" s="26">
        <f t="shared" si="22"/>
        <v>980</v>
      </c>
      <c r="G90" s="26">
        <f t="shared" si="23"/>
        <v>50960</v>
      </c>
      <c r="H90" s="26">
        <f t="shared" si="24"/>
        <v>8798</v>
      </c>
      <c r="I90" s="26">
        <f t="shared" si="25"/>
        <v>42162</v>
      </c>
      <c r="J90" s="26">
        <f t="shared" si="26"/>
        <v>810.80769230769226</v>
      </c>
      <c r="K90" s="26">
        <f t="shared" si="27"/>
        <v>810.80769230769226</v>
      </c>
      <c r="L90" s="26">
        <f t="shared" si="28"/>
        <v>0</v>
      </c>
      <c r="M90" s="26">
        <f t="shared" si="29"/>
        <v>119.65491071428573</v>
      </c>
      <c r="N90" s="27">
        <f t="shared" si="30"/>
        <v>210.35</v>
      </c>
      <c r="O90" s="27">
        <f t="shared" si="31"/>
        <v>0</v>
      </c>
      <c r="P90" s="26">
        <f t="shared" si="32"/>
        <v>1140.812603021978</v>
      </c>
      <c r="Q90" s="26">
        <f t="shared" si="33"/>
        <v>59322.255357142858</v>
      </c>
      <c r="R90" s="16">
        <f t="shared" si="34"/>
        <v>0.81999999999999318</v>
      </c>
      <c r="S90" s="26">
        <f t="shared" si="35"/>
        <v>74492.255357142858</v>
      </c>
      <c r="T90" s="27">
        <f t="shared" si="36"/>
        <v>60</v>
      </c>
      <c r="U90" s="26">
        <f t="shared" si="1"/>
        <v>1080.812603021978</v>
      </c>
      <c r="V90" s="16">
        <f t="shared" si="58"/>
        <v>0.81999999999999318</v>
      </c>
      <c r="W90" s="28">
        <f t="shared" si="2"/>
        <v>511.65</v>
      </c>
      <c r="X90" s="29">
        <f t="shared" si="37"/>
        <v>27</v>
      </c>
      <c r="Y90" s="29">
        <f t="shared" si="38"/>
        <v>510.99999999999994</v>
      </c>
      <c r="Z90" s="29">
        <f t="shared" si="39"/>
        <v>511.65</v>
      </c>
      <c r="AA90" s="28">
        <f t="shared" si="40"/>
        <v>0</v>
      </c>
      <c r="AB90" s="28">
        <f t="shared" si="41"/>
        <v>127.91249999999999</v>
      </c>
      <c r="AC90" s="28">
        <f t="shared" si="3"/>
        <v>172.08750000000001</v>
      </c>
      <c r="AD90" s="28">
        <f t="shared" si="42"/>
        <v>129.06562500000001</v>
      </c>
      <c r="AE90" s="13">
        <f t="shared" si="4"/>
        <v>129.06562500000001</v>
      </c>
      <c r="AF90" s="13">
        <f t="shared" si="5"/>
        <v>37.64285714285711</v>
      </c>
      <c r="AG90" s="13">
        <f t="shared" si="43"/>
        <v>119.65491071428573</v>
      </c>
      <c r="AH90" s="28">
        <f t="shared" si="6"/>
        <v>231.81</v>
      </c>
      <c r="AI90" s="13">
        <f t="shared" si="7"/>
        <v>348</v>
      </c>
      <c r="AJ90" s="28">
        <f t="shared" si="8"/>
        <v>93.960000000000008</v>
      </c>
      <c r="AK90" s="13">
        <f t="shared" si="44"/>
        <v>137.85</v>
      </c>
      <c r="AL90" s="47">
        <f t="shared" si="45"/>
        <v>20</v>
      </c>
      <c r="AM90" s="13" t="str">
        <f t="shared" si="46"/>
        <v>N</v>
      </c>
      <c r="AN90" s="13">
        <f t="shared" si="47"/>
        <v>0</v>
      </c>
      <c r="AO90" s="13" t="str">
        <f t="shared" si="48"/>
        <v>Y</v>
      </c>
      <c r="AP90" s="13">
        <f t="shared" si="49"/>
        <v>72.5</v>
      </c>
      <c r="AQ90" s="13">
        <f t="shared" si="50"/>
        <v>0</v>
      </c>
      <c r="AR90" s="13">
        <f t="shared" si="51"/>
        <v>72.5</v>
      </c>
      <c r="AS90" s="9">
        <f t="shared" si="9"/>
        <v>2</v>
      </c>
      <c r="AT90" s="9">
        <f t="shared" si="10"/>
        <v>20</v>
      </c>
      <c r="AU90" s="9">
        <f t="shared" si="11"/>
        <v>0</v>
      </c>
      <c r="AV90" s="13">
        <f t="shared" si="12"/>
        <v>4.53</v>
      </c>
      <c r="AW90" s="13">
        <f t="shared" si="13"/>
        <v>0</v>
      </c>
      <c r="AX90" s="9">
        <f t="shared" si="14"/>
        <v>1</v>
      </c>
      <c r="AY90" s="9">
        <f t="shared" si="15"/>
        <v>0</v>
      </c>
      <c r="AZ90" s="28">
        <f t="shared" si="52"/>
        <v>0</v>
      </c>
      <c r="BA90" s="9">
        <f t="shared" si="16"/>
        <v>1</v>
      </c>
      <c r="BB90" s="9">
        <f t="shared" si="17"/>
        <v>0</v>
      </c>
      <c r="BC90" s="28">
        <f t="shared" si="53"/>
        <v>0</v>
      </c>
      <c r="BD90" s="28">
        <f t="shared" si="54"/>
        <v>0</v>
      </c>
      <c r="BE90" s="13">
        <f t="shared" si="55"/>
        <v>60</v>
      </c>
      <c r="BF90" s="13">
        <f t="shared" si="18"/>
        <v>0</v>
      </c>
      <c r="BG90" s="28">
        <f t="shared" si="56"/>
        <v>60</v>
      </c>
    </row>
    <row r="91" spans="1:59" x14ac:dyDescent="0.2">
      <c r="A91" s="8">
        <f t="shared" si="57"/>
        <v>50</v>
      </c>
      <c r="B91" s="26">
        <f t="shared" si="0"/>
        <v>1000</v>
      </c>
      <c r="C91" s="26">
        <f t="shared" si="19"/>
        <v>0</v>
      </c>
      <c r="D91" s="26">
        <f t="shared" si="20"/>
        <v>1000</v>
      </c>
      <c r="E91" s="27">
        <f t="shared" si="21"/>
        <v>0</v>
      </c>
      <c r="F91" s="26">
        <f t="shared" si="22"/>
        <v>1000</v>
      </c>
      <c r="G91" s="26">
        <f t="shared" si="23"/>
        <v>52000</v>
      </c>
      <c r="H91" s="26">
        <f t="shared" si="24"/>
        <v>9110</v>
      </c>
      <c r="I91" s="26">
        <f t="shared" si="25"/>
        <v>42890</v>
      </c>
      <c r="J91" s="26">
        <f t="shared" si="26"/>
        <v>824.80769230769226</v>
      </c>
      <c r="K91" s="26">
        <f t="shared" si="27"/>
        <v>824.80769230769226</v>
      </c>
      <c r="L91" s="26">
        <f t="shared" si="28"/>
        <v>0</v>
      </c>
      <c r="M91" s="26">
        <f t="shared" si="29"/>
        <v>114.65491071428573</v>
      </c>
      <c r="N91" s="27">
        <f t="shared" si="30"/>
        <v>204.95</v>
      </c>
      <c r="O91" s="27">
        <f t="shared" si="31"/>
        <v>0</v>
      </c>
      <c r="P91" s="26">
        <f t="shared" si="32"/>
        <v>1144.4126030219779</v>
      </c>
      <c r="Q91" s="26">
        <f t="shared" si="33"/>
        <v>59509.455357142855</v>
      </c>
      <c r="R91" s="16">
        <f t="shared" si="34"/>
        <v>0.8200000000000045</v>
      </c>
      <c r="S91" s="26">
        <f t="shared" si="35"/>
        <v>74679.455357142855</v>
      </c>
      <c r="T91" s="27">
        <f t="shared" si="36"/>
        <v>60</v>
      </c>
      <c r="U91" s="26">
        <f t="shared" si="1"/>
        <v>1084.4126030219779</v>
      </c>
      <c r="V91" s="16">
        <f t="shared" si="58"/>
        <v>0.8200000000000045</v>
      </c>
      <c r="W91" s="28">
        <f t="shared" si="2"/>
        <v>511.65</v>
      </c>
      <c r="X91" s="29">
        <f t="shared" si="37"/>
        <v>27</v>
      </c>
      <c r="Y91" s="29">
        <f t="shared" si="38"/>
        <v>525</v>
      </c>
      <c r="Z91" s="29">
        <f t="shared" si="39"/>
        <v>511.65</v>
      </c>
      <c r="AA91" s="28">
        <f t="shared" si="40"/>
        <v>0</v>
      </c>
      <c r="AB91" s="28">
        <f t="shared" si="41"/>
        <v>127.91249999999999</v>
      </c>
      <c r="AC91" s="28">
        <f t="shared" si="3"/>
        <v>172.08750000000001</v>
      </c>
      <c r="AD91" s="28">
        <f t="shared" si="42"/>
        <v>129.06562500000001</v>
      </c>
      <c r="AE91" s="13">
        <f t="shared" si="4"/>
        <v>129.06562500000001</v>
      </c>
      <c r="AF91" s="13">
        <f t="shared" si="5"/>
        <v>57.64285714285711</v>
      </c>
      <c r="AG91" s="13">
        <f t="shared" si="43"/>
        <v>114.65491071428573</v>
      </c>
      <c r="AH91" s="28">
        <f t="shared" si="6"/>
        <v>231.81</v>
      </c>
      <c r="AI91" s="13">
        <f t="shared" si="7"/>
        <v>368</v>
      </c>
      <c r="AJ91" s="28">
        <f t="shared" si="8"/>
        <v>99.360000000000014</v>
      </c>
      <c r="AK91" s="13">
        <f t="shared" si="44"/>
        <v>132.44999999999999</v>
      </c>
      <c r="AL91" s="47">
        <f t="shared" si="45"/>
        <v>20</v>
      </c>
      <c r="AM91" s="13" t="str">
        <f t="shared" si="46"/>
        <v>N</v>
      </c>
      <c r="AN91" s="13">
        <f t="shared" si="47"/>
        <v>0</v>
      </c>
      <c r="AO91" s="13" t="str">
        <f t="shared" si="48"/>
        <v>Y</v>
      </c>
      <c r="AP91" s="13">
        <f t="shared" si="49"/>
        <v>72.5</v>
      </c>
      <c r="AQ91" s="13">
        <f t="shared" si="50"/>
        <v>0</v>
      </c>
      <c r="AR91" s="13">
        <f t="shared" si="51"/>
        <v>72.5</v>
      </c>
      <c r="AS91" s="9">
        <f t="shared" si="9"/>
        <v>2</v>
      </c>
      <c r="AT91" s="9">
        <f t="shared" si="10"/>
        <v>20</v>
      </c>
      <c r="AU91" s="9">
        <f t="shared" si="11"/>
        <v>0</v>
      </c>
      <c r="AV91" s="13">
        <f t="shared" si="12"/>
        <v>4.53</v>
      </c>
      <c r="AW91" s="13">
        <f t="shared" si="13"/>
        <v>0</v>
      </c>
      <c r="AX91" s="9">
        <f t="shared" si="14"/>
        <v>1</v>
      </c>
      <c r="AY91" s="9">
        <f t="shared" si="15"/>
        <v>0</v>
      </c>
      <c r="AZ91" s="28">
        <f t="shared" si="52"/>
        <v>0</v>
      </c>
      <c r="BA91" s="9">
        <f t="shared" si="16"/>
        <v>1</v>
      </c>
      <c r="BB91" s="9">
        <f t="shared" si="17"/>
        <v>0</v>
      </c>
      <c r="BC91" s="28">
        <f t="shared" si="53"/>
        <v>0</v>
      </c>
      <c r="BD91" s="28">
        <f t="shared" si="54"/>
        <v>0</v>
      </c>
      <c r="BE91" s="13">
        <f t="shared" si="55"/>
        <v>60</v>
      </c>
      <c r="BF91" s="13">
        <f t="shared" si="18"/>
        <v>0</v>
      </c>
      <c r="BG91" s="28">
        <f t="shared" si="56"/>
        <v>60</v>
      </c>
    </row>
    <row r="92" spans="1:59" x14ac:dyDescent="0.2">
      <c r="A92" s="8">
        <f t="shared" si="57"/>
        <v>51</v>
      </c>
      <c r="B92" s="26">
        <f t="shared" si="0"/>
        <v>1020</v>
      </c>
      <c r="C92" s="26">
        <f t="shared" si="19"/>
        <v>0</v>
      </c>
      <c r="D92" s="26">
        <f t="shared" si="20"/>
        <v>1020</v>
      </c>
      <c r="E92" s="27">
        <f t="shared" si="21"/>
        <v>0</v>
      </c>
      <c r="F92" s="26">
        <f t="shared" si="22"/>
        <v>1020</v>
      </c>
      <c r="G92" s="26">
        <f t="shared" si="23"/>
        <v>53040</v>
      </c>
      <c r="H92" s="26">
        <f t="shared" si="24"/>
        <v>9422</v>
      </c>
      <c r="I92" s="26">
        <f t="shared" si="25"/>
        <v>43618</v>
      </c>
      <c r="J92" s="26">
        <f t="shared" si="26"/>
        <v>838.80769230769226</v>
      </c>
      <c r="K92" s="26">
        <f t="shared" si="27"/>
        <v>838.80769230769226</v>
      </c>
      <c r="L92" s="26">
        <f t="shared" si="28"/>
        <v>0</v>
      </c>
      <c r="M92" s="26">
        <f t="shared" si="29"/>
        <v>109.65491071428573</v>
      </c>
      <c r="N92" s="27">
        <f t="shared" si="30"/>
        <v>199.55</v>
      </c>
      <c r="O92" s="27">
        <f t="shared" si="31"/>
        <v>0</v>
      </c>
      <c r="P92" s="26">
        <f t="shared" si="32"/>
        <v>1148.0126030219781</v>
      </c>
      <c r="Q92" s="26">
        <f t="shared" si="33"/>
        <v>59696.655357142859</v>
      </c>
      <c r="R92" s="16">
        <f t="shared" si="34"/>
        <v>0.81999999999999318</v>
      </c>
      <c r="S92" s="26">
        <f t="shared" si="35"/>
        <v>74866.655357142852</v>
      </c>
      <c r="T92" s="27">
        <f t="shared" si="36"/>
        <v>60</v>
      </c>
      <c r="U92" s="26">
        <f t="shared" si="1"/>
        <v>1088.0126030219781</v>
      </c>
      <c r="V92" s="16">
        <f t="shared" si="58"/>
        <v>0.81999999999999318</v>
      </c>
      <c r="W92" s="28">
        <f t="shared" si="2"/>
        <v>511.65</v>
      </c>
      <c r="X92" s="29">
        <f t="shared" si="37"/>
        <v>27</v>
      </c>
      <c r="Y92" s="29">
        <f t="shared" si="38"/>
        <v>539</v>
      </c>
      <c r="Z92" s="29">
        <f t="shared" si="39"/>
        <v>511.65</v>
      </c>
      <c r="AA92" s="28">
        <f t="shared" si="40"/>
        <v>0</v>
      </c>
      <c r="AB92" s="28">
        <f t="shared" si="41"/>
        <v>127.91249999999999</v>
      </c>
      <c r="AC92" s="28">
        <f t="shared" si="3"/>
        <v>172.08750000000001</v>
      </c>
      <c r="AD92" s="28">
        <f t="shared" si="42"/>
        <v>129.06562500000001</v>
      </c>
      <c r="AE92" s="13">
        <f t="shared" si="4"/>
        <v>129.06562500000001</v>
      </c>
      <c r="AF92" s="13">
        <f t="shared" si="5"/>
        <v>77.64285714285711</v>
      </c>
      <c r="AG92" s="13">
        <f t="shared" si="43"/>
        <v>109.65491071428573</v>
      </c>
      <c r="AH92" s="28">
        <f t="shared" si="6"/>
        <v>231.81</v>
      </c>
      <c r="AI92" s="13">
        <f t="shared" si="7"/>
        <v>388</v>
      </c>
      <c r="AJ92" s="28">
        <f t="shared" si="8"/>
        <v>104.76</v>
      </c>
      <c r="AK92" s="13">
        <f t="shared" si="44"/>
        <v>127.05</v>
      </c>
      <c r="AL92" s="47">
        <f t="shared" si="45"/>
        <v>20</v>
      </c>
      <c r="AM92" s="13" t="str">
        <f t="shared" si="46"/>
        <v>N</v>
      </c>
      <c r="AN92" s="13">
        <f t="shared" si="47"/>
        <v>0</v>
      </c>
      <c r="AO92" s="13" t="str">
        <f t="shared" si="48"/>
        <v>Y</v>
      </c>
      <c r="AP92" s="13">
        <f t="shared" si="49"/>
        <v>72.5</v>
      </c>
      <c r="AQ92" s="13">
        <f t="shared" si="50"/>
        <v>0</v>
      </c>
      <c r="AR92" s="13">
        <f t="shared" si="51"/>
        <v>72.5</v>
      </c>
      <c r="AS92" s="9">
        <f t="shared" si="9"/>
        <v>2</v>
      </c>
      <c r="AT92" s="9">
        <f t="shared" si="10"/>
        <v>20</v>
      </c>
      <c r="AU92" s="9">
        <f t="shared" si="11"/>
        <v>0</v>
      </c>
      <c r="AV92" s="13">
        <f t="shared" si="12"/>
        <v>4.53</v>
      </c>
      <c r="AW92" s="13">
        <f t="shared" si="13"/>
        <v>0</v>
      </c>
      <c r="AX92" s="9">
        <f t="shared" si="14"/>
        <v>1</v>
      </c>
      <c r="AY92" s="9">
        <f t="shared" si="15"/>
        <v>0</v>
      </c>
      <c r="AZ92" s="28">
        <f t="shared" si="52"/>
        <v>0</v>
      </c>
      <c r="BA92" s="9">
        <f t="shared" si="16"/>
        <v>1</v>
      </c>
      <c r="BB92" s="9">
        <f t="shared" si="17"/>
        <v>0</v>
      </c>
      <c r="BC92" s="28">
        <f t="shared" si="53"/>
        <v>0</v>
      </c>
      <c r="BD92" s="28">
        <f t="shared" si="54"/>
        <v>0</v>
      </c>
      <c r="BE92" s="13">
        <f t="shared" si="55"/>
        <v>60</v>
      </c>
      <c r="BF92" s="13">
        <f t="shared" si="18"/>
        <v>0</v>
      </c>
      <c r="BG92" s="28">
        <f t="shared" si="56"/>
        <v>60</v>
      </c>
    </row>
    <row r="93" spans="1:59" x14ac:dyDescent="0.2">
      <c r="A93" s="8">
        <f t="shared" si="57"/>
        <v>52</v>
      </c>
      <c r="B93" s="26">
        <f t="shared" si="0"/>
        <v>1040</v>
      </c>
      <c r="C93" s="26">
        <f t="shared" si="19"/>
        <v>0</v>
      </c>
      <c r="D93" s="26">
        <f t="shared" si="20"/>
        <v>1040</v>
      </c>
      <c r="E93" s="27">
        <f t="shared" si="21"/>
        <v>0</v>
      </c>
      <c r="F93" s="26">
        <f t="shared" si="22"/>
        <v>1040</v>
      </c>
      <c r="G93" s="26">
        <f t="shared" si="23"/>
        <v>54080</v>
      </c>
      <c r="H93" s="26">
        <f t="shared" si="24"/>
        <v>9734</v>
      </c>
      <c r="I93" s="26">
        <f t="shared" si="25"/>
        <v>44346</v>
      </c>
      <c r="J93" s="26">
        <f t="shared" si="26"/>
        <v>852.80769230769226</v>
      </c>
      <c r="K93" s="26">
        <f t="shared" si="27"/>
        <v>852.80769230769226</v>
      </c>
      <c r="L93" s="26">
        <f t="shared" si="28"/>
        <v>0</v>
      </c>
      <c r="M93" s="26">
        <f t="shared" si="29"/>
        <v>104.65491071428573</v>
      </c>
      <c r="N93" s="27">
        <f t="shared" si="30"/>
        <v>194.14999999999998</v>
      </c>
      <c r="O93" s="27">
        <f t="shared" si="31"/>
        <v>0</v>
      </c>
      <c r="P93" s="26">
        <f t="shared" si="32"/>
        <v>1151.612603021978</v>
      </c>
      <c r="Q93" s="26">
        <f t="shared" si="33"/>
        <v>59883.855357142857</v>
      </c>
      <c r="R93" s="16">
        <f t="shared" si="34"/>
        <v>0.8200000000000045</v>
      </c>
      <c r="S93" s="26">
        <f t="shared" si="35"/>
        <v>75053.855357142864</v>
      </c>
      <c r="T93" s="27">
        <f t="shared" si="36"/>
        <v>60</v>
      </c>
      <c r="U93" s="26">
        <f t="shared" si="1"/>
        <v>1091.612603021978</v>
      </c>
      <c r="V93" s="16">
        <f t="shared" si="58"/>
        <v>0.8200000000000045</v>
      </c>
      <c r="W93" s="28">
        <f t="shared" si="2"/>
        <v>511.65</v>
      </c>
      <c r="X93" s="29">
        <f t="shared" si="37"/>
        <v>27</v>
      </c>
      <c r="Y93" s="29">
        <f t="shared" si="38"/>
        <v>553</v>
      </c>
      <c r="Z93" s="29">
        <f t="shared" si="39"/>
        <v>511.65</v>
      </c>
      <c r="AA93" s="28">
        <f t="shared" si="40"/>
        <v>0</v>
      </c>
      <c r="AB93" s="28">
        <f t="shared" si="41"/>
        <v>127.91249999999999</v>
      </c>
      <c r="AC93" s="28">
        <f t="shared" si="3"/>
        <v>172.08750000000001</v>
      </c>
      <c r="AD93" s="28">
        <f t="shared" si="42"/>
        <v>129.06562500000001</v>
      </c>
      <c r="AE93" s="13">
        <f t="shared" si="4"/>
        <v>129.06562500000001</v>
      </c>
      <c r="AF93" s="13">
        <f t="shared" si="5"/>
        <v>97.64285714285711</v>
      </c>
      <c r="AG93" s="13">
        <f t="shared" si="43"/>
        <v>104.65491071428573</v>
      </c>
      <c r="AH93" s="28">
        <f t="shared" si="6"/>
        <v>231.81</v>
      </c>
      <c r="AI93" s="13">
        <f t="shared" si="7"/>
        <v>408</v>
      </c>
      <c r="AJ93" s="28">
        <f t="shared" si="8"/>
        <v>110.16000000000001</v>
      </c>
      <c r="AK93" s="13">
        <f t="shared" si="44"/>
        <v>121.64999999999999</v>
      </c>
      <c r="AL93" s="47">
        <f t="shared" si="45"/>
        <v>20</v>
      </c>
      <c r="AM93" s="13" t="str">
        <f t="shared" si="46"/>
        <v>N</v>
      </c>
      <c r="AN93" s="13">
        <f t="shared" si="47"/>
        <v>0</v>
      </c>
      <c r="AO93" s="13" t="str">
        <f t="shared" si="48"/>
        <v>Y</v>
      </c>
      <c r="AP93" s="13">
        <f t="shared" si="49"/>
        <v>72.5</v>
      </c>
      <c r="AQ93" s="13">
        <f t="shared" si="50"/>
        <v>0</v>
      </c>
      <c r="AR93" s="13">
        <f t="shared" si="51"/>
        <v>72.5</v>
      </c>
      <c r="AS93" s="9">
        <f t="shared" si="9"/>
        <v>2</v>
      </c>
      <c r="AT93" s="9">
        <f t="shared" si="10"/>
        <v>20</v>
      </c>
      <c r="AU93" s="9">
        <f t="shared" si="11"/>
        <v>0</v>
      </c>
      <c r="AV93" s="13">
        <f t="shared" si="12"/>
        <v>4.53</v>
      </c>
      <c r="AW93" s="13">
        <f t="shared" si="13"/>
        <v>0</v>
      </c>
      <c r="AX93" s="9">
        <f t="shared" si="14"/>
        <v>1</v>
      </c>
      <c r="AY93" s="9">
        <f t="shared" si="15"/>
        <v>0</v>
      </c>
      <c r="AZ93" s="28">
        <f t="shared" si="52"/>
        <v>0</v>
      </c>
      <c r="BA93" s="9">
        <f t="shared" si="16"/>
        <v>1</v>
      </c>
      <c r="BB93" s="9">
        <f t="shared" si="17"/>
        <v>0</v>
      </c>
      <c r="BC93" s="28">
        <f t="shared" si="53"/>
        <v>0</v>
      </c>
      <c r="BD93" s="28">
        <f t="shared" si="54"/>
        <v>0</v>
      </c>
      <c r="BE93" s="13">
        <f t="shared" si="55"/>
        <v>60</v>
      </c>
      <c r="BF93" s="13">
        <f t="shared" si="18"/>
        <v>0</v>
      </c>
      <c r="BG93" s="28">
        <f t="shared" si="56"/>
        <v>60</v>
      </c>
    </row>
    <row r="94" spans="1:59" x14ac:dyDescent="0.2">
      <c r="A94" s="8">
        <f t="shared" si="57"/>
        <v>53</v>
      </c>
      <c r="B94" s="26">
        <f t="shared" ref="B94:B122" si="59">A94*B$57</f>
        <v>1060</v>
      </c>
      <c r="C94" s="26">
        <f t="shared" si="19"/>
        <v>0</v>
      </c>
      <c r="D94" s="26">
        <f t="shared" si="20"/>
        <v>1060</v>
      </c>
      <c r="E94" s="27">
        <f t="shared" si="21"/>
        <v>0</v>
      </c>
      <c r="F94" s="26">
        <f t="shared" si="22"/>
        <v>1060</v>
      </c>
      <c r="G94" s="26">
        <f t="shared" si="23"/>
        <v>55120</v>
      </c>
      <c r="H94" s="26">
        <f t="shared" si="24"/>
        <v>10046</v>
      </c>
      <c r="I94" s="26">
        <f t="shared" si="25"/>
        <v>45074</v>
      </c>
      <c r="J94" s="26">
        <f t="shared" si="26"/>
        <v>866.80769230769226</v>
      </c>
      <c r="K94" s="26">
        <f t="shared" si="27"/>
        <v>866.80769230769226</v>
      </c>
      <c r="L94" s="26">
        <f t="shared" si="28"/>
        <v>0</v>
      </c>
      <c r="M94" s="26">
        <f t="shared" si="29"/>
        <v>99.654910714285734</v>
      </c>
      <c r="N94" s="27">
        <f t="shared" si="30"/>
        <v>188.75</v>
      </c>
      <c r="O94" s="27">
        <f t="shared" si="31"/>
        <v>0</v>
      </c>
      <c r="P94" s="26">
        <f t="shared" si="32"/>
        <v>1155.2126030219779</v>
      </c>
      <c r="Q94" s="26">
        <f t="shared" si="33"/>
        <v>60071.055357142846</v>
      </c>
      <c r="R94" s="16">
        <f t="shared" si="34"/>
        <v>0.8200000000000045</v>
      </c>
      <c r="S94" s="26">
        <f t="shared" si="35"/>
        <v>75241.055357142846</v>
      </c>
      <c r="T94" s="27">
        <f t="shared" si="36"/>
        <v>60</v>
      </c>
      <c r="U94" s="26">
        <f t="shared" ref="U94:U122" si="60">P94-T94</f>
        <v>1095.2126030219779</v>
      </c>
      <c r="V94" s="16">
        <f t="shared" si="58"/>
        <v>0.8200000000000045</v>
      </c>
      <c r="W94" s="28">
        <f t="shared" ref="W94:W122" si="61">B$21</f>
        <v>511.65</v>
      </c>
      <c r="X94" s="29">
        <f t="shared" si="37"/>
        <v>27</v>
      </c>
      <c r="Y94" s="29">
        <f t="shared" si="38"/>
        <v>567</v>
      </c>
      <c r="Z94" s="29">
        <f t="shared" si="39"/>
        <v>511.65</v>
      </c>
      <c r="AA94" s="28">
        <f t="shared" si="40"/>
        <v>0</v>
      </c>
      <c r="AB94" s="28">
        <f t="shared" si="41"/>
        <v>127.91249999999999</v>
      </c>
      <c r="AC94" s="28">
        <f t="shared" ref="AC94:AC122" si="62">B$9-AB94</f>
        <v>172.08750000000001</v>
      </c>
      <c r="AD94" s="28">
        <f t="shared" si="42"/>
        <v>129.06562500000001</v>
      </c>
      <c r="AE94" s="13">
        <f t="shared" ref="AE94:AE122" si="63">IF(AD94&gt;B$22,B$22,AD94)</f>
        <v>129.06562500000001</v>
      </c>
      <c r="AF94" s="13">
        <f t="shared" ref="AF94:AF122" si="64">IF(F94&lt;B$27,0,F94-B$27)</f>
        <v>117.64285714285711</v>
      </c>
      <c r="AG94" s="13">
        <f t="shared" si="43"/>
        <v>99.654910714285734</v>
      </c>
      <c r="AH94" s="28">
        <f t="shared" ref="AH94:AH122" si="65">B$28</f>
        <v>231.81</v>
      </c>
      <c r="AI94" s="13">
        <f t="shared" ref="AI94:AI122" si="66">IF(F94&gt;B$29,F94-B$29,0)</f>
        <v>428</v>
      </c>
      <c r="AJ94" s="28">
        <f t="shared" ref="AJ94:AJ122" si="67">AI94*B$30</f>
        <v>115.56</v>
      </c>
      <c r="AK94" s="13">
        <f t="shared" si="44"/>
        <v>116.25</v>
      </c>
      <c r="AL94" s="47">
        <f t="shared" si="45"/>
        <v>20</v>
      </c>
      <c r="AM94" s="13" t="str">
        <f t="shared" si="46"/>
        <v>N</v>
      </c>
      <c r="AN94" s="13">
        <f t="shared" si="47"/>
        <v>0</v>
      </c>
      <c r="AO94" s="13" t="str">
        <f t="shared" si="48"/>
        <v>Y</v>
      </c>
      <c r="AP94" s="13">
        <f t="shared" si="49"/>
        <v>72.5</v>
      </c>
      <c r="AQ94" s="13">
        <f t="shared" si="50"/>
        <v>0</v>
      </c>
      <c r="AR94" s="13">
        <f t="shared" si="51"/>
        <v>72.5</v>
      </c>
      <c r="AS94" s="9">
        <f t="shared" ref="AS94:AS122" si="68">B$14</f>
        <v>2</v>
      </c>
      <c r="AT94" s="9">
        <f t="shared" ref="AT94:AT122" si="69">IF(B$15="Couple",0,MIN(B$57,50))</f>
        <v>20</v>
      </c>
      <c r="AU94" s="9">
        <f t="shared" ref="AU94:AU122" si="70">B$3</f>
        <v>0</v>
      </c>
      <c r="AV94" s="13">
        <f t="shared" ref="AV94:AV122" si="71">IF(F94&lt;B$45,B$49,IF(F94&lt;B$46,B$50,IF(F94&lt;B$47,B$51,IF(F94&lt;B$48,B$52,0))))</f>
        <v>4.53</v>
      </c>
      <c r="AW94" s="13">
        <f t="shared" ref="AW94:AW122" si="72">AT94*AU94*AV94</f>
        <v>0</v>
      </c>
      <c r="AX94" s="9">
        <f t="shared" ref="AX94:AX122" si="73">B$4</f>
        <v>1</v>
      </c>
      <c r="AY94" s="9">
        <f t="shared" ref="AY94:AY122" si="74">IF(B$15="Couple",0,IF(B$57&lt;20,0,IF((B$57-25)&gt;25,25,B$57-20)))</f>
        <v>0</v>
      </c>
      <c r="AZ94" s="28">
        <f t="shared" si="52"/>
        <v>0</v>
      </c>
      <c r="BA94" s="9">
        <f t="shared" ref="BA94:BA122" si="75">B$5</f>
        <v>1</v>
      </c>
      <c r="BB94" s="9">
        <f t="shared" ref="BB94:BB122" si="76">IF(B$15="Couple",0,IF(B$57&lt;25,0,IF((B$57-25)&gt;20,20,B$57-25)))</f>
        <v>0</v>
      </c>
      <c r="BC94" s="28">
        <f t="shared" si="53"/>
        <v>0</v>
      </c>
      <c r="BD94" s="28">
        <f t="shared" si="54"/>
        <v>0</v>
      </c>
      <c r="BE94" s="13">
        <f t="shared" si="55"/>
        <v>60</v>
      </c>
      <c r="BF94" s="13">
        <f t="shared" ref="BF94:BF122" si="77">B$53*(BB94*BA94+AX94*AY94+AU94*AT94)</f>
        <v>0</v>
      </c>
      <c r="BG94" s="28">
        <f t="shared" si="56"/>
        <v>60</v>
      </c>
    </row>
    <row r="95" spans="1:59" x14ac:dyDescent="0.2">
      <c r="A95" s="8">
        <f t="shared" si="57"/>
        <v>54</v>
      </c>
      <c r="B95" s="26">
        <f t="shared" si="59"/>
        <v>1080</v>
      </c>
      <c r="C95" s="26">
        <f t="shared" si="19"/>
        <v>0</v>
      </c>
      <c r="D95" s="26">
        <f t="shared" si="20"/>
        <v>1080</v>
      </c>
      <c r="E95" s="27">
        <f t="shared" si="21"/>
        <v>0</v>
      </c>
      <c r="F95" s="26">
        <f t="shared" si="22"/>
        <v>1080</v>
      </c>
      <c r="G95" s="26">
        <f t="shared" si="23"/>
        <v>56160</v>
      </c>
      <c r="H95" s="26">
        <f t="shared" si="24"/>
        <v>10358</v>
      </c>
      <c r="I95" s="26">
        <f t="shared" si="25"/>
        <v>45802</v>
      </c>
      <c r="J95" s="26">
        <f t="shared" si="26"/>
        <v>880.80769230769226</v>
      </c>
      <c r="K95" s="26">
        <f t="shared" si="27"/>
        <v>880.80769230769226</v>
      </c>
      <c r="L95" s="26">
        <f t="shared" si="28"/>
        <v>0</v>
      </c>
      <c r="M95" s="26">
        <f t="shared" si="29"/>
        <v>94.654910714285734</v>
      </c>
      <c r="N95" s="27">
        <f t="shared" si="30"/>
        <v>183.35</v>
      </c>
      <c r="O95" s="27">
        <f t="shared" si="31"/>
        <v>0</v>
      </c>
      <c r="P95" s="26">
        <f t="shared" si="32"/>
        <v>1158.812603021978</v>
      </c>
      <c r="Q95" s="26">
        <f t="shared" si="33"/>
        <v>60258.255357142858</v>
      </c>
      <c r="R95" s="16">
        <f t="shared" ref="R95:R122" si="78">1-(P95-P94)/(B95-B94)</f>
        <v>0.81999999999999318</v>
      </c>
      <c r="S95" s="26">
        <f t="shared" si="35"/>
        <v>75428.255357142858</v>
      </c>
      <c r="T95" s="27">
        <f t="shared" si="36"/>
        <v>60</v>
      </c>
      <c r="U95" s="26">
        <f t="shared" si="60"/>
        <v>1098.812603021978</v>
      </c>
      <c r="V95" s="16">
        <f t="shared" si="58"/>
        <v>0.81999999999999318</v>
      </c>
      <c r="W95" s="28">
        <f t="shared" si="61"/>
        <v>511.65</v>
      </c>
      <c r="X95" s="29">
        <f t="shared" si="37"/>
        <v>27</v>
      </c>
      <c r="Y95" s="29">
        <f t="shared" si="38"/>
        <v>581</v>
      </c>
      <c r="Z95" s="29">
        <f t="shared" si="39"/>
        <v>511.65</v>
      </c>
      <c r="AA95" s="28">
        <f t="shared" si="40"/>
        <v>0</v>
      </c>
      <c r="AB95" s="28">
        <f t="shared" si="41"/>
        <v>127.91249999999999</v>
      </c>
      <c r="AC95" s="28">
        <f t="shared" si="62"/>
        <v>172.08750000000001</v>
      </c>
      <c r="AD95" s="28">
        <f t="shared" si="42"/>
        <v>129.06562500000001</v>
      </c>
      <c r="AE95" s="13">
        <f t="shared" si="63"/>
        <v>129.06562500000001</v>
      </c>
      <c r="AF95" s="13">
        <f t="shared" si="64"/>
        <v>137.64285714285711</v>
      </c>
      <c r="AG95" s="13">
        <f t="shared" si="43"/>
        <v>94.654910714285734</v>
      </c>
      <c r="AH95" s="28">
        <f t="shared" si="65"/>
        <v>231.81</v>
      </c>
      <c r="AI95" s="13">
        <f t="shared" si="66"/>
        <v>448</v>
      </c>
      <c r="AJ95" s="28">
        <f t="shared" si="67"/>
        <v>120.96000000000001</v>
      </c>
      <c r="AK95" s="13">
        <f t="shared" si="44"/>
        <v>110.85</v>
      </c>
      <c r="AL95" s="47">
        <f t="shared" si="45"/>
        <v>20</v>
      </c>
      <c r="AM95" s="13" t="str">
        <f t="shared" si="46"/>
        <v>N</v>
      </c>
      <c r="AN95" s="13">
        <f t="shared" si="47"/>
        <v>0</v>
      </c>
      <c r="AO95" s="13" t="str">
        <f t="shared" si="48"/>
        <v>Y</v>
      </c>
      <c r="AP95" s="13">
        <f t="shared" si="49"/>
        <v>72.5</v>
      </c>
      <c r="AQ95" s="13">
        <f t="shared" si="50"/>
        <v>0</v>
      </c>
      <c r="AR95" s="13">
        <f t="shared" si="51"/>
        <v>72.5</v>
      </c>
      <c r="AS95" s="9">
        <f t="shared" si="68"/>
        <v>2</v>
      </c>
      <c r="AT95" s="9">
        <f t="shared" si="69"/>
        <v>20</v>
      </c>
      <c r="AU95" s="9">
        <f t="shared" si="70"/>
        <v>0</v>
      </c>
      <c r="AV95" s="13">
        <f t="shared" si="71"/>
        <v>4.53</v>
      </c>
      <c r="AW95" s="13">
        <f t="shared" si="72"/>
        <v>0</v>
      </c>
      <c r="AX95" s="9">
        <f t="shared" si="73"/>
        <v>1</v>
      </c>
      <c r="AY95" s="9">
        <f t="shared" si="74"/>
        <v>0</v>
      </c>
      <c r="AZ95" s="28">
        <f t="shared" si="52"/>
        <v>0</v>
      </c>
      <c r="BA95" s="9">
        <f t="shared" si="75"/>
        <v>1</v>
      </c>
      <c r="BB95" s="9">
        <f t="shared" si="76"/>
        <v>0</v>
      </c>
      <c r="BC95" s="28">
        <f t="shared" si="53"/>
        <v>0</v>
      </c>
      <c r="BD95" s="28">
        <f t="shared" si="54"/>
        <v>0</v>
      </c>
      <c r="BE95" s="13">
        <f t="shared" si="55"/>
        <v>60</v>
      </c>
      <c r="BF95" s="13">
        <f t="shared" si="77"/>
        <v>0</v>
      </c>
      <c r="BG95" s="28">
        <f t="shared" si="56"/>
        <v>60</v>
      </c>
    </row>
    <row r="96" spans="1:59" x14ac:dyDescent="0.2">
      <c r="A96" s="8">
        <f t="shared" si="57"/>
        <v>55</v>
      </c>
      <c r="B96" s="26">
        <f t="shared" si="59"/>
        <v>1100</v>
      </c>
      <c r="C96" s="26">
        <f t="shared" si="19"/>
        <v>0</v>
      </c>
      <c r="D96" s="26">
        <f t="shared" si="20"/>
        <v>1100</v>
      </c>
      <c r="E96" s="27">
        <f t="shared" si="21"/>
        <v>0</v>
      </c>
      <c r="F96" s="26">
        <f t="shared" si="22"/>
        <v>1100</v>
      </c>
      <c r="G96" s="26">
        <f t="shared" si="23"/>
        <v>57200</v>
      </c>
      <c r="H96" s="26">
        <f t="shared" si="24"/>
        <v>10670</v>
      </c>
      <c r="I96" s="26">
        <f t="shared" si="25"/>
        <v>46530</v>
      </c>
      <c r="J96" s="26">
        <f t="shared" si="26"/>
        <v>894.80769230769226</v>
      </c>
      <c r="K96" s="26">
        <f t="shared" si="27"/>
        <v>894.80769230769226</v>
      </c>
      <c r="L96" s="26">
        <f t="shared" si="28"/>
        <v>0</v>
      </c>
      <c r="M96" s="26">
        <f t="shared" si="29"/>
        <v>89.654910714285734</v>
      </c>
      <c r="N96" s="27">
        <f t="shared" si="30"/>
        <v>177.95</v>
      </c>
      <c r="O96" s="27">
        <f t="shared" si="31"/>
        <v>0</v>
      </c>
      <c r="P96" s="26">
        <f t="shared" si="32"/>
        <v>1162.4126030219779</v>
      </c>
      <c r="Q96" s="26">
        <f t="shared" si="33"/>
        <v>60445.455357142855</v>
      </c>
      <c r="R96" s="16">
        <f t="shared" si="78"/>
        <v>0.8200000000000045</v>
      </c>
      <c r="S96" s="26">
        <f t="shared" si="35"/>
        <v>75615.455357142855</v>
      </c>
      <c r="T96" s="27">
        <f t="shared" si="36"/>
        <v>60</v>
      </c>
      <c r="U96" s="26">
        <f t="shared" si="60"/>
        <v>1102.4126030219779</v>
      </c>
      <c r="V96" s="16">
        <f t="shared" si="58"/>
        <v>0.8200000000000045</v>
      </c>
      <c r="W96" s="28">
        <f t="shared" si="61"/>
        <v>511.65</v>
      </c>
      <c r="X96" s="29">
        <f t="shared" si="37"/>
        <v>27</v>
      </c>
      <c r="Y96" s="29">
        <f t="shared" si="38"/>
        <v>595</v>
      </c>
      <c r="Z96" s="29">
        <f t="shared" si="39"/>
        <v>511.65</v>
      </c>
      <c r="AA96" s="28">
        <f t="shared" si="40"/>
        <v>0</v>
      </c>
      <c r="AB96" s="28">
        <f t="shared" si="41"/>
        <v>127.91249999999999</v>
      </c>
      <c r="AC96" s="28">
        <f t="shared" si="62"/>
        <v>172.08750000000001</v>
      </c>
      <c r="AD96" s="28">
        <f t="shared" si="42"/>
        <v>129.06562500000001</v>
      </c>
      <c r="AE96" s="13">
        <f t="shared" si="63"/>
        <v>129.06562500000001</v>
      </c>
      <c r="AF96" s="13">
        <f t="shared" si="64"/>
        <v>157.64285714285711</v>
      </c>
      <c r="AG96" s="13">
        <f t="shared" si="43"/>
        <v>89.654910714285734</v>
      </c>
      <c r="AH96" s="28">
        <f t="shared" si="65"/>
        <v>231.81</v>
      </c>
      <c r="AI96" s="13">
        <f t="shared" si="66"/>
        <v>468</v>
      </c>
      <c r="AJ96" s="28">
        <f t="shared" si="67"/>
        <v>126.36000000000001</v>
      </c>
      <c r="AK96" s="13">
        <f t="shared" si="44"/>
        <v>105.44999999999999</v>
      </c>
      <c r="AL96" s="47">
        <f t="shared" si="45"/>
        <v>20</v>
      </c>
      <c r="AM96" s="13" t="str">
        <f t="shared" si="46"/>
        <v>N</v>
      </c>
      <c r="AN96" s="13">
        <f t="shared" si="47"/>
        <v>0</v>
      </c>
      <c r="AO96" s="13" t="str">
        <f t="shared" si="48"/>
        <v>Y</v>
      </c>
      <c r="AP96" s="13">
        <f t="shared" si="49"/>
        <v>72.5</v>
      </c>
      <c r="AQ96" s="13">
        <f t="shared" si="50"/>
        <v>0</v>
      </c>
      <c r="AR96" s="13">
        <f t="shared" si="51"/>
        <v>72.5</v>
      </c>
      <c r="AS96" s="9">
        <f t="shared" si="68"/>
        <v>2</v>
      </c>
      <c r="AT96" s="9">
        <f t="shared" si="69"/>
        <v>20</v>
      </c>
      <c r="AU96" s="9">
        <f t="shared" si="70"/>
        <v>0</v>
      </c>
      <c r="AV96" s="13">
        <f t="shared" si="71"/>
        <v>4.53</v>
      </c>
      <c r="AW96" s="13">
        <f t="shared" si="72"/>
        <v>0</v>
      </c>
      <c r="AX96" s="9">
        <f t="shared" si="73"/>
        <v>1</v>
      </c>
      <c r="AY96" s="9">
        <f t="shared" si="74"/>
        <v>0</v>
      </c>
      <c r="AZ96" s="28">
        <f t="shared" si="52"/>
        <v>0</v>
      </c>
      <c r="BA96" s="9">
        <f t="shared" si="75"/>
        <v>1</v>
      </c>
      <c r="BB96" s="9">
        <f t="shared" si="76"/>
        <v>0</v>
      </c>
      <c r="BC96" s="28">
        <f t="shared" si="53"/>
        <v>0</v>
      </c>
      <c r="BD96" s="28">
        <f t="shared" si="54"/>
        <v>0</v>
      </c>
      <c r="BE96" s="13">
        <f t="shared" si="55"/>
        <v>60</v>
      </c>
      <c r="BF96" s="13">
        <f t="shared" si="77"/>
        <v>0</v>
      </c>
      <c r="BG96" s="28">
        <f t="shared" si="56"/>
        <v>60</v>
      </c>
    </row>
    <row r="97" spans="1:59" x14ac:dyDescent="0.2">
      <c r="A97" s="8">
        <f t="shared" si="57"/>
        <v>56</v>
      </c>
      <c r="B97" s="26">
        <f t="shared" si="59"/>
        <v>1120</v>
      </c>
      <c r="C97" s="26">
        <f t="shared" si="19"/>
        <v>0</v>
      </c>
      <c r="D97" s="26">
        <f t="shared" si="20"/>
        <v>1120</v>
      </c>
      <c r="E97" s="27">
        <f t="shared" si="21"/>
        <v>0</v>
      </c>
      <c r="F97" s="26">
        <f t="shared" si="22"/>
        <v>1120</v>
      </c>
      <c r="G97" s="26">
        <f t="shared" si="23"/>
        <v>58240</v>
      </c>
      <c r="H97" s="26">
        <f t="shared" si="24"/>
        <v>10982</v>
      </c>
      <c r="I97" s="26">
        <f t="shared" si="25"/>
        <v>47258</v>
      </c>
      <c r="J97" s="26">
        <f t="shared" si="26"/>
        <v>908.80769230769226</v>
      </c>
      <c r="K97" s="26">
        <f t="shared" si="27"/>
        <v>908.80769230769226</v>
      </c>
      <c r="L97" s="26">
        <f t="shared" si="28"/>
        <v>0</v>
      </c>
      <c r="M97" s="26">
        <f t="shared" si="29"/>
        <v>84.654910714285734</v>
      </c>
      <c r="N97" s="27">
        <f t="shared" si="30"/>
        <v>172.54999999999998</v>
      </c>
      <c r="O97" s="27">
        <f t="shared" si="31"/>
        <v>0</v>
      </c>
      <c r="P97" s="26">
        <f t="shared" si="32"/>
        <v>1166.0126030219781</v>
      </c>
      <c r="Q97" s="26">
        <f t="shared" si="33"/>
        <v>60632.655357142859</v>
      </c>
      <c r="R97" s="16">
        <f t="shared" si="78"/>
        <v>0.81999999999999318</v>
      </c>
      <c r="S97" s="26">
        <f t="shared" si="35"/>
        <v>75802.655357142852</v>
      </c>
      <c r="T97" s="27">
        <f t="shared" si="36"/>
        <v>60</v>
      </c>
      <c r="U97" s="26">
        <f t="shared" si="60"/>
        <v>1106.0126030219781</v>
      </c>
      <c r="V97" s="16">
        <f t="shared" si="58"/>
        <v>0.81999999999999318</v>
      </c>
      <c r="W97" s="28">
        <f t="shared" si="61"/>
        <v>511.65</v>
      </c>
      <c r="X97" s="29">
        <f t="shared" si="37"/>
        <v>27</v>
      </c>
      <c r="Y97" s="29">
        <f t="shared" si="38"/>
        <v>609</v>
      </c>
      <c r="Z97" s="29">
        <f t="shared" si="39"/>
        <v>511.65</v>
      </c>
      <c r="AA97" s="28">
        <f t="shared" si="40"/>
        <v>0</v>
      </c>
      <c r="AB97" s="28">
        <f t="shared" si="41"/>
        <v>127.91249999999999</v>
      </c>
      <c r="AC97" s="28">
        <f t="shared" si="62"/>
        <v>172.08750000000001</v>
      </c>
      <c r="AD97" s="28">
        <f t="shared" si="42"/>
        <v>129.06562500000001</v>
      </c>
      <c r="AE97" s="13">
        <f t="shared" si="63"/>
        <v>129.06562500000001</v>
      </c>
      <c r="AF97" s="13">
        <f t="shared" si="64"/>
        <v>177.64285714285711</v>
      </c>
      <c r="AG97" s="13">
        <f t="shared" si="43"/>
        <v>84.654910714285734</v>
      </c>
      <c r="AH97" s="28">
        <f t="shared" si="65"/>
        <v>231.81</v>
      </c>
      <c r="AI97" s="13">
        <f t="shared" si="66"/>
        <v>488</v>
      </c>
      <c r="AJ97" s="28">
        <f t="shared" si="67"/>
        <v>131.76000000000002</v>
      </c>
      <c r="AK97" s="13">
        <f t="shared" si="44"/>
        <v>100.04999999999998</v>
      </c>
      <c r="AL97" s="47">
        <f t="shared" si="45"/>
        <v>20</v>
      </c>
      <c r="AM97" s="13" t="str">
        <f t="shared" si="46"/>
        <v>N</v>
      </c>
      <c r="AN97" s="13">
        <f t="shared" si="47"/>
        <v>0</v>
      </c>
      <c r="AO97" s="13" t="str">
        <f t="shared" si="48"/>
        <v>Y</v>
      </c>
      <c r="AP97" s="13">
        <f t="shared" si="49"/>
        <v>72.5</v>
      </c>
      <c r="AQ97" s="13">
        <f t="shared" si="50"/>
        <v>0</v>
      </c>
      <c r="AR97" s="13">
        <f t="shared" si="51"/>
        <v>72.5</v>
      </c>
      <c r="AS97" s="9">
        <f t="shared" si="68"/>
        <v>2</v>
      </c>
      <c r="AT97" s="9">
        <f t="shared" si="69"/>
        <v>20</v>
      </c>
      <c r="AU97" s="9">
        <f t="shared" si="70"/>
        <v>0</v>
      </c>
      <c r="AV97" s="13">
        <f t="shared" si="71"/>
        <v>4.53</v>
      </c>
      <c r="AW97" s="13">
        <f t="shared" si="72"/>
        <v>0</v>
      </c>
      <c r="AX97" s="9">
        <f t="shared" si="73"/>
        <v>1</v>
      </c>
      <c r="AY97" s="9">
        <f t="shared" si="74"/>
        <v>0</v>
      </c>
      <c r="AZ97" s="28">
        <f t="shared" si="52"/>
        <v>0</v>
      </c>
      <c r="BA97" s="9">
        <f t="shared" si="75"/>
        <v>1</v>
      </c>
      <c r="BB97" s="9">
        <f t="shared" si="76"/>
        <v>0</v>
      </c>
      <c r="BC97" s="28">
        <f t="shared" si="53"/>
        <v>0</v>
      </c>
      <c r="BD97" s="28">
        <f t="shared" si="54"/>
        <v>0</v>
      </c>
      <c r="BE97" s="13">
        <f t="shared" si="55"/>
        <v>60</v>
      </c>
      <c r="BF97" s="13">
        <f t="shared" si="77"/>
        <v>0</v>
      </c>
      <c r="BG97" s="28">
        <f t="shared" si="56"/>
        <v>60</v>
      </c>
    </row>
    <row r="98" spans="1:59" x14ac:dyDescent="0.2">
      <c r="A98" s="8">
        <f t="shared" si="57"/>
        <v>57</v>
      </c>
      <c r="B98" s="26">
        <f t="shared" si="59"/>
        <v>1140</v>
      </c>
      <c r="C98" s="26">
        <f t="shared" si="19"/>
        <v>0</v>
      </c>
      <c r="D98" s="26">
        <f t="shared" si="20"/>
        <v>1140</v>
      </c>
      <c r="E98" s="27">
        <f t="shared" si="21"/>
        <v>0</v>
      </c>
      <c r="F98" s="26">
        <f t="shared" si="22"/>
        <v>1140</v>
      </c>
      <c r="G98" s="26">
        <f t="shared" si="23"/>
        <v>59280</v>
      </c>
      <c r="H98" s="26">
        <f t="shared" si="24"/>
        <v>11294</v>
      </c>
      <c r="I98" s="26">
        <f t="shared" si="25"/>
        <v>47986</v>
      </c>
      <c r="J98" s="26">
        <f t="shared" si="26"/>
        <v>922.80769230769226</v>
      </c>
      <c r="K98" s="26">
        <f t="shared" si="27"/>
        <v>922.80769230769226</v>
      </c>
      <c r="L98" s="26">
        <f t="shared" si="28"/>
        <v>0</v>
      </c>
      <c r="M98" s="26">
        <f t="shared" si="29"/>
        <v>79.654910714285734</v>
      </c>
      <c r="N98" s="27">
        <f t="shared" si="30"/>
        <v>167.15</v>
      </c>
      <c r="O98" s="27">
        <f t="shared" si="31"/>
        <v>0</v>
      </c>
      <c r="P98" s="26">
        <f t="shared" si="32"/>
        <v>1169.612603021978</v>
      </c>
      <c r="Q98" s="26">
        <f t="shared" si="33"/>
        <v>60819.855357142857</v>
      </c>
      <c r="R98" s="16">
        <f t="shared" si="78"/>
        <v>0.8200000000000045</v>
      </c>
      <c r="S98" s="26">
        <f t="shared" si="35"/>
        <v>75989.855357142864</v>
      </c>
      <c r="T98" s="27">
        <f t="shared" si="36"/>
        <v>60</v>
      </c>
      <c r="U98" s="26">
        <f t="shared" si="60"/>
        <v>1109.612603021978</v>
      </c>
      <c r="V98" s="16">
        <f t="shared" si="58"/>
        <v>0.8200000000000045</v>
      </c>
      <c r="W98" s="28">
        <f t="shared" si="61"/>
        <v>511.65</v>
      </c>
      <c r="X98" s="29">
        <f t="shared" si="37"/>
        <v>27</v>
      </c>
      <c r="Y98" s="29">
        <f t="shared" si="38"/>
        <v>623</v>
      </c>
      <c r="Z98" s="29">
        <f t="shared" si="39"/>
        <v>511.65</v>
      </c>
      <c r="AA98" s="28">
        <f t="shared" si="40"/>
        <v>0</v>
      </c>
      <c r="AB98" s="28">
        <f t="shared" si="41"/>
        <v>127.91249999999999</v>
      </c>
      <c r="AC98" s="28">
        <f t="shared" si="62"/>
        <v>172.08750000000001</v>
      </c>
      <c r="AD98" s="28">
        <f t="shared" si="42"/>
        <v>129.06562500000001</v>
      </c>
      <c r="AE98" s="13">
        <f t="shared" si="63"/>
        <v>129.06562500000001</v>
      </c>
      <c r="AF98" s="13">
        <f t="shared" si="64"/>
        <v>197.64285714285711</v>
      </c>
      <c r="AG98" s="13">
        <f t="shared" si="43"/>
        <v>79.654910714285734</v>
      </c>
      <c r="AH98" s="28">
        <f t="shared" si="65"/>
        <v>231.81</v>
      </c>
      <c r="AI98" s="13">
        <f t="shared" si="66"/>
        <v>508</v>
      </c>
      <c r="AJ98" s="28">
        <f t="shared" si="67"/>
        <v>137.16</v>
      </c>
      <c r="AK98" s="13">
        <f t="shared" si="44"/>
        <v>94.65</v>
      </c>
      <c r="AL98" s="47">
        <f t="shared" si="45"/>
        <v>20</v>
      </c>
      <c r="AM98" s="13" t="str">
        <f t="shared" si="46"/>
        <v>N</v>
      </c>
      <c r="AN98" s="13">
        <f t="shared" si="47"/>
        <v>0</v>
      </c>
      <c r="AO98" s="13" t="str">
        <f t="shared" si="48"/>
        <v>Y</v>
      </c>
      <c r="AP98" s="13">
        <f t="shared" si="49"/>
        <v>72.5</v>
      </c>
      <c r="AQ98" s="13">
        <f t="shared" si="50"/>
        <v>0</v>
      </c>
      <c r="AR98" s="13">
        <f t="shared" si="51"/>
        <v>72.5</v>
      </c>
      <c r="AS98" s="9">
        <f t="shared" si="68"/>
        <v>2</v>
      </c>
      <c r="AT98" s="9">
        <f t="shared" si="69"/>
        <v>20</v>
      </c>
      <c r="AU98" s="9">
        <f t="shared" si="70"/>
        <v>0</v>
      </c>
      <c r="AV98" s="13">
        <f t="shared" si="71"/>
        <v>4.53</v>
      </c>
      <c r="AW98" s="13">
        <f t="shared" si="72"/>
        <v>0</v>
      </c>
      <c r="AX98" s="9">
        <f t="shared" si="73"/>
        <v>1</v>
      </c>
      <c r="AY98" s="9">
        <f t="shared" si="74"/>
        <v>0</v>
      </c>
      <c r="AZ98" s="28">
        <f t="shared" si="52"/>
        <v>0</v>
      </c>
      <c r="BA98" s="9">
        <f t="shared" si="75"/>
        <v>1</v>
      </c>
      <c r="BB98" s="9">
        <f t="shared" si="76"/>
        <v>0</v>
      </c>
      <c r="BC98" s="28">
        <f t="shared" si="53"/>
        <v>0</v>
      </c>
      <c r="BD98" s="28">
        <f t="shared" si="54"/>
        <v>0</v>
      </c>
      <c r="BE98" s="13">
        <f t="shared" si="55"/>
        <v>60</v>
      </c>
      <c r="BF98" s="13">
        <f t="shared" si="77"/>
        <v>0</v>
      </c>
      <c r="BG98" s="28">
        <f t="shared" si="56"/>
        <v>60</v>
      </c>
    </row>
    <row r="99" spans="1:59" x14ac:dyDescent="0.2">
      <c r="A99" s="8">
        <f t="shared" si="57"/>
        <v>58</v>
      </c>
      <c r="B99" s="26">
        <f t="shared" si="59"/>
        <v>1160</v>
      </c>
      <c r="C99" s="26">
        <f t="shared" si="19"/>
        <v>0</v>
      </c>
      <c r="D99" s="26">
        <f t="shared" si="20"/>
        <v>1160</v>
      </c>
      <c r="E99" s="27">
        <f t="shared" si="21"/>
        <v>0</v>
      </c>
      <c r="F99" s="26">
        <f t="shared" si="22"/>
        <v>1160</v>
      </c>
      <c r="G99" s="26">
        <f t="shared" si="23"/>
        <v>60320</v>
      </c>
      <c r="H99" s="26">
        <f t="shared" si="24"/>
        <v>11606</v>
      </c>
      <c r="I99" s="26">
        <f t="shared" si="25"/>
        <v>48714</v>
      </c>
      <c r="J99" s="26">
        <f t="shared" si="26"/>
        <v>936.80769230769226</v>
      </c>
      <c r="K99" s="26">
        <f t="shared" si="27"/>
        <v>936.80769230769226</v>
      </c>
      <c r="L99" s="26">
        <f t="shared" si="28"/>
        <v>0</v>
      </c>
      <c r="M99" s="26">
        <f t="shared" si="29"/>
        <v>74.654910714285734</v>
      </c>
      <c r="N99" s="27">
        <f t="shared" si="30"/>
        <v>161.75</v>
      </c>
      <c r="O99" s="27">
        <f t="shared" si="31"/>
        <v>0</v>
      </c>
      <c r="P99" s="26">
        <f t="shared" si="32"/>
        <v>1173.2126030219779</v>
      </c>
      <c r="Q99" s="26">
        <f t="shared" si="33"/>
        <v>61007.055357142846</v>
      </c>
      <c r="R99" s="16">
        <f t="shared" si="78"/>
        <v>0.8200000000000045</v>
      </c>
      <c r="S99" s="26">
        <f t="shared" si="35"/>
        <v>76177.055357142846</v>
      </c>
      <c r="T99" s="27">
        <f t="shared" si="36"/>
        <v>60</v>
      </c>
      <c r="U99" s="26">
        <f t="shared" si="60"/>
        <v>1113.2126030219779</v>
      </c>
      <c r="V99" s="16">
        <f t="shared" si="58"/>
        <v>0.8200000000000045</v>
      </c>
      <c r="W99" s="28">
        <f t="shared" si="61"/>
        <v>511.65</v>
      </c>
      <c r="X99" s="29">
        <f t="shared" si="37"/>
        <v>27</v>
      </c>
      <c r="Y99" s="29">
        <f t="shared" si="38"/>
        <v>637</v>
      </c>
      <c r="Z99" s="29">
        <f t="shared" si="39"/>
        <v>511.65</v>
      </c>
      <c r="AA99" s="28">
        <f t="shared" si="40"/>
        <v>0</v>
      </c>
      <c r="AB99" s="28">
        <f t="shared" si="41"/>
        <v>127.91249999999999</v>
      </c>
      <c r="AC99" s="28">
        <f t="shared" si="62"/>
        <v>172.08750000000001</v>
      </c>
      <c r="AD99" s="28">
        <f t="shared" si="42"/>
        <v>129.06562500000001</v>
      </c>
      <c r="AE99" s="13">
        <f t="shared" si="63"/>
        <v>129.06562500000001</v>
      </c>
      <c r="AF99" s="13">
        <f t="shared" si="64"/>
        <v>217.64285714285711</v>
      </c>
      <c r="AG99" s="13">
        <f t="shared" si="43"/>
        <v>74.654910714285734</v>
      </c>
      <c r="AH99" s="28">
        <f t="shared" si="65"/>
        <v>231.81</v>
      </c>
      <c r="AI99" s="13">
        <f t="shared" si="66"/>
        <v>528</v>
      </c>
      <c r="AJ99" s="28">
        <f t="shared" si="67"/>
        <v>142.56</v>
      </c>
      <c r="AK99" s="13">
        <f t="shared" si="44"/>
        <v>89.25</v>
      </c>
      <c r="AL99" s="47">
        <f t="shared" si="45"/>
        <v>20</v>
      </c>
      <c r="AM99" s="13" t="str">
        <f t="shared" si="46"/>
        <v>N</v>
      </c>
      <c r="AN99" s="13">
        <f t="shared" si="47"/>
        <v>0</v>
      </c>
      <c r="AO99" s="13" t="str">
        <f t="shared" si="48"/>
        <v>Y</v>
      </c>
      <c r="AP99" s="13">
        <f t="shared" si="49"/>
        <v>72.5</v>
      </c>
      <c r="AQ99" s="13">
        <f t="shared" si="50"/>
        <v>0</v>
      </c>
      <c r="AR99" s="13">
        <f t="shared" si="51"/>
        <v>72.5</v>
      </c>
      <c r="AS99" s="9">
        <f t="shared" si="68"/>
        <v>2</v>
      </c>
      <c r="AT99" s="9">
        <f t="shared" si="69"/>
        <v>20</v>
      </c>
      <c r="AU99" s="9">
        <f t="shared" si="70"/>
        <v>0</v>
      </c>
      <c r="AV99" s="13">
        <f t="shared" si="71"/>
        <v>4.53</v>
      </c>
      <c r="AW99" s="13">
        <f t="shared" si="72"/>
        <v>0</v>
      </c>
      <c r="AX99" s="9">
        <f t="shared" si="73"/>
        <v>1</v>
      </c>
      <c r="AY99" s="9">
        <f t="shared" si="74"/>
        <v>0</v>
      </c>
      <c r="AZ99" s="28">
        <f t="shared" si="52"/>
        <v>0</v>
      </c>
      <c r="BA99" s="9">
        <f t="shared" si="75"/>
        <v>1</v>
      </c>
      <c r="BB99" s="9">
        <f t="shared" si="76"/>
        <v>0</v>
      </c>
      <c r="BC99" s="28">
        <f t="shared" si="53"/>
        <v>0</v>
      </c>
      <c r="BD99" s="28">
        <f t="shared" si="54"/>
        <v>0</v>
      </c>
      <c r="BE99" s="13">
        <f t="shared" si="55"/>
        <v>60</v>
      </c>
      <c r="BF99" s="13">
        <f t="shared" si="77"/>
        <v>0</v>
      </c>
      <c r="BG99" s="28">
        <f t="shared" si="56"/>
        <v>60</v>
      </c>
    </row>
    <row r="100" spans="1:59" x14ac:dyDescent="0.2">
      <c r="A100" s="8">
        <f t="shared" si="57"/>
        <v>59</v>
      </c>
      <c r="B100" s="26">
        <f t="shared" si="59"/>
        <v>1180</v>
      </c>
      <c r="C100" s="26">
        <f t="shared" si="19"/>
        <v>0</v>
      </c>
      <c r="D100" s="26">
        <f t="shared" si="20"/>
        <v>1180</v>
      </c>
      <c r="E100" s="27">
        <f t="shared" si="21"/>
        <v>0</v>
      </c>
      <c r="F100" s="26">
        <f t="shared" si="22"/>
        <v>1180</v>
      </c>
      <c r="G100" s="26">
        <f t="shared" si="23"/>
        <v>61360</v>
      </c>
      <c r="H100" s="26">
        <f t="shared" si="24"/>
        <v>11918</v>
      </c>
      <c r="I100" s="26">
        <f t="shared" si="25"/>
        <v>49442</v>
      </c>
      <c r="J100" s="26">
        <f t="shared" si="26"/>
        <v>950.80769230769226</v>
      </c>
      <c r="K100" s="26">
        <f t="shared" si="27"/>
        <v>950.80769230769226</v>
      </c>
      <c r="L100" s="26">
        <f t="shared" si="28"/>
        <v>0</v>
      </c>
      <c r="M100" s="26">
        <f t="shared" si="29"/>
        <v>69.654910714285734</v>
      </c>
      <c r="N100" s="27">
        <f t="shared" si="30"/>
        <v>156.35</v>
      </c>
      <c r="O100" s="27">
        <f t="shared" si="31"/>
        <v>0</v>
      </c>
      <c r="P100" s="26">
        <f t="shared" si="32"/>
        <v>1176.812603021978</v>
      </c>
      <c r="Q100" s="26">
        <f t="shared" si="33"/>
        <v>61194.255357142858</v>
      </c>
      <c r="R100" s="16">
        <f t="shared" si="78"/>
        <v>0.81999999999999318</v>
      </c>
      <c r="S100" s="26">
        <f t="shared" si="35"/>
        <v>76364.255357142858</v>
      </c>
      <c r="T100" s="27">
        <f t="shared" si="36"/>
        <v>60</v>
      </c>
      <c r="U100" s="26">
        <f t="shared" si="60"/>
        <v>1116.812603021978</v>
      </c>
      <c r="V100" s="16">
        <f t="shared" si="58"/>
        <v>0.81999999999999318</v>
      </c>
      <c r="W100" s="28">
        <f t="shared" si="61"/>
        <v>511.65</v>
      </c>
      <c r="X100" s="29">
        <f t="shared" si="37"/>
        <v>27</v>
      </c>
      <c r="Y100" s="29">
        <f t="shared" si="38"/>
        <v>651</v>
      </c>
      <c r="Z100" s="29">
        <f t="shared" si="39"/>
        <v>511.65</v>
      </c>
      <c r="AA100" s="28">
        <f t="shared" si="40"/>
        <v>0</v>
      </c>
      <c r="AB100" s="28">
        <f t="shared" si="41"/>
        <v>127.91249999999999</v>
      </c>
      <c r="AC100" s="28">
        <f t="shared" si="62"/>
        <v>172.08750000000001</v>
      </c>
      <c r="AD100" s="28">
        <f t="shared" si="42"/>
        <v>129.06562500000001</v>
      </c>
      <c r="AE100" s="13">
        <f t="shared" si="63"/>
        <v>129.06562500000001</v>
      </c>
      <c r="AF100" s="13">
        <f t="shared" si="64"/>
        <v>237.64285714285711</v>
      </c>
      <c r="AG100" s="13">
        <f t="shared" si="43"/>
        <v>69.654910714285734</v>
      </c>
      <c r="AH100" s="28">
        <f t="shared" si="65"/>
        <v>231.81</v>
      </c>
      <c r="AI100" s="13">
        <f t="shared" si="66"/>
        <v>548</v>
      </c>
      <c r="AJ100" s="28">
        <f t="shared" si="67"/>
        <v>147.96</v>
      </c>
      <c r="AK100" s="13">
        <f t="shared" si="44"/>
        <v>83.85</v>
      </c>
      <c r="AL100" s="47">
        <f t="shared" si="45"/>
        <v>20</v>
      </c>
      <c r="AM100" s="13" t="str">
        <f t="shared" si="46"/>
        <v>N</v>
      </c>
      <c r="AN100" s="13">
        <f t="shared" si="47"/>
        <v>0</v>
      </c>
      <c r="AO100" s="13" t="str">
        <f t="shared" si="48"/>
        <v>Y</v>
      </c>
      <c r="AP100" s="13">
        <f t="shared" si="49"/>
        <v>72.5</v>
      </c>
      <c r="AQ100" s="13">
        <f t="shared" si="50"/>
        <v>0</v>
      </c>
      <c r="AR100" s="13">
        <f t="shared" si="51"/>
        <v>72.5</v>
      </c>
      <c r="AS100" s="9">
        <f t="shared" si="68"/>
        <v>2</v>
      </c>
      <c r="AT100" s="9">
        <f t="shared" si="69"/>
        <v>20</v>
      </c>
      <c r="AU100" s="9">
        <f t="shared" si="70"/>
        <v>0</v>
      </c>
      <c r="AV100" s="13">
        <f t="shared" si="71"/>
        <v>4.53</v>
      </c>
      <c r="AW100" s="13">
        <f t="shared" si="72"/>
        <v>0</v>
      </c>
      <c r="AX100" s="9">
        <f t="shared" si="73"/>
        <v>1</v>
      </c>
      <c r="AY100" s="9">
        <f t="shared" si="74"/>
        <v>0</v>
      </c>
      <c r="AZ100" s="28">
        <f t="shared" si="52"/>
        <v>0</v>
      </c>
      <c r="BA100" s="9">
        <f t="shared" si="75"/>
        <v>1</v>
      </c>
      <c r="BB100" s="9">
        <f t="shared" si="76"/>
        <v>0</v>
      </c>
      <c r="BC100" s="28">
        <f t="shared" si="53"/>
        <v>0</v>
      </c>
      <c r="BD100" s="28">
        <f t="shared" si="54"/>
        <v>0</v>
      </c>
      <c r="BE100" s="13">
        <f t="shared" si="55"/>
        <v>60</v>
      </c>
      <c r="BF100" s="13">
        <f t="shared" si="77"/>
        <v>0</v>
      </c>
      <c r="BG100" s="28">
        <f t="shared" si="56"/>
        <v>60</v>
      </c>
    </row>
    <row r="101" spans="1:59" x14ac:dyDescent="0.2">
      <c r="A101" s="8">
        <f t="shared" si="57"/>
        <v>60</v>
      </c>
      <c r="B101" s="26">
        <f t="shared" si="59"/>
        <v>1200</v>
      </c>
      <c r="C101" s="26">
        <f t="shared" si="19"/>
        <v>0</v>
      </c>
      <c r="D101" s="26">
        <f t="shared" si="20"/>
        <v>1200</v>
      </c>
      <c r="E101" s="27">
        <f t="shared" si="21"/>
        <v>0</v>
      </c>
      <c r="F101" s="26">
        <f t="shared" si="22"/>
        <v>1200</v>
      </c>
      <c r="G101" s="26">
        <f t="shared" si="23"/>
        <v>62400</v>
      </c>
      <c r="H101" s="26">
        <f t="shared" si="24"/>
        <v>12230</v>
      </c>
      <c r="I101" s="26">
        <f t="shared" si="25"/>
        <v>50170</v>
      </c>
      <c r="J101" s="26">
        <f t="shared" si="26"/>
        <v>964.80769230769226</v>
      </c>
      <c r="K101" s="26">
        <f t="shared" si="27"/>
        <v>964.80769230769226</v>
      </c>
      <c r="L101" s="26">
        <f t="shared" si="28"/>
        <v>0</v>
      </c>
      <c r="M101" s="26">
        <f t="shared" si="29"/>
        <v>64.654910714285734</v>
      </c>
      <c r="N101" s="27">
        <f t="shared" si="30"/>
        <v>150.94999999999999</v>
      </c>
      <c r="O101" s="27">
        <f t="shared" si="31"/>
        <v>0</v>
      </c>
      <c r="P101" s="26">
        <f t="shared" si="32"/>
        <v>1180.4126030219779</v>
      </c>
      <c r="Q101" s="26">
        <f t="shared" si="33"/>
        <v>61381.455357142855</v>
      </c>
      <c r="R101" s="16">
        <f t="shared" si="78"/>
        <v>0.8200000000000045</v>
      </c>
      <c r="S101" s="26">
        <f t="shared" si="35"/>
        <v>76551.455357142855</v>
      </c>
      <c r="T101" s="27">
        <f t="shared" si="36"/>
        <v>60</v>
      </c>
      <c r="U101" s="26">
        <f t="shared" si="60"/>
        <v>1120.4126030219779</v>
      </c>
      <c r="V101" s="16">
        <f t="shared" si="58"/>
        <v>0.8200000000000045</v>
      </c>
      <c r="W101" s="28">
        <f t="shared" si="61"/>
        <v>511.65</v>
      </c>
      <c r="X101" s="29">
        <f t="shared" si="37"/>
        <v>27</v>
      </c>
      <c r="Y101" s="29">
        <f t="shared" si="38"/>
        <v>665</v>
      </c>
      <c r="Z101" s="29">
        <f t="shared" si="39"/>
        <v>511.65</v>
      </c>
      <c r="AA101" s="28">
        <f t="shared" si="40"/>
        <v>0</v>
      </c>
      <c r="AB101" s="28">
        <f t="shared" si="41"/>
        <v>127.91249999999999</v>
      </c>
      <c r="AC101" s="28">
        <f t="shared" si="62"/>
        <v>172.08750000000001</v>
      </c>
      <c r="AD101" s="28">
        <f t="shared" si="42"/>
        <v>129.06562500000001</v>
      </c>
      <c r="AE101" s="13">
        <f t="shared" si="63"/>
        <v>129.06562500000001</v>
      </c>
      <c r="AF101" s="13">
        <f t="shared" si="64"/>
        <v>257.64285714285711</v>
      </c>
      <c r="AG101" s="13">
        <f t="shared" si="43"/>
        <v>64.654910714285734</v>
      </c>
      <c r="AH101" s="28">
        <f t="shared" si="65"/>
        <v>231.81</v>
      </c>
      <c r="AI101" s="13">
        <f t="shared" si="66"/>
        <v>568</v>
      </c>
      <c r="AJ101" s="28">
        <f t="shared" si="67"/>
        <v>153.36000000000001</v>
      </c>
      <c r="AK101" s="13">
        <f t="shared" si="44"/>
        <v>78.449999999999989</v>
      </c>
      <c r="AL101" s="47">
        <f t="shared" si="45"/>
        <v>20</v>
      </c>
      <c r="AM101" s="13" t="str">
        <f t="shared" si="46"/>
        <v>N</v>
      </c>
      <c r="AN101" s="13">
        <f t="shared" si="47"/>
        <v>0</v>
      </c>
      <c r="AO101" s="13" t="str">
        <f t="shared" si="48"/>
        <v>Y</v>
      </c>
      <c r="AP101" s="13">
        <f t="shared" si="49"/>
        <v>72.5</v>
      </c>
      <c r="AQ101" s="13">
        <f t="shared" si="50"/>
        <v>0</v>
      </c>
      <c r="AR101" s="13">
        <f t="shared" si="51"/>
        <v>72.5</v>
      </c>
      <c r="AS101" s="9">
        <f t="shared" si="68"/>
        <v>2</v>
      </c>
      <c r="AT101" s="9">
        <f t="shared" si="69"/>
        <v>20</v>
      </c>
      <c r="AU101" s="9">
        <f t="shared" si="70"/>
        <v>0</v>
      </c>
      <c r="AV101" s="13">
        <f t="shared" si="71"/>
        <v>4.53</v>
      </c>
      <c r="AW101" s="13">
        <f t="shared" si="72"/>
        <v>0</v>
      </c>
      <c r="AX101" s="9">
        <f t="shared" si="73"/>
        <v>1</v>
      </c>
      <c r="AY101" s="9">
        <f t="shared" si="74"/>
        <v>0</v>
      </c>
      <c r="AZ101" s="28">
        <f t="shared" si="52"/>
        <v>0</v>
      </c>
      <c r="BA101" s="9">
        <f t="shared" si="75"/>
        <v>1</v>
      </c>
      <c r="BB101" s="9">
        <f t="shared" si="76"/>
        <v>0</v>
      </c>
      <c r="BC101" s="28">
        <f t="shared" si="53"/>
        <v>0</v>
      </c>
      <c r="BD101" s="28">
        <f t="shared" si="54"/>
        <v>0</v>
      </c>
      <c r="BE101" s="13">
        <f t="shared" si="55"/>
        <v>60</v>
      </c>
      <c r="BF101" s="13">
        <f t="shared" si="77"/>
        <v>0</v>
      </c>
      <c r="BG101" s="28">
        <f t="shared" si="56"/>
        <v>60</v>
      </c>
    </row>
    <row r="102" spans="1:59" x14ac:dyDescent="0.2">
      <c r="A102" s="8">
        <f t="shared" si="57"/>
        <v>61</v>
      </c>
      <c r="B102" s="26">
        <f t="shared" si="59"/>
        <v>1220</v>
      </c>
      <c r="C102" s="26">
        <f t="shared" si="19"/>
        <v>0</v>
      </c>
      <c r="D102" s="26">
        <f t="shared" si="20"/>
        <v>1220</v>
      </c>
      <c r="E102" s="27">
        <f t="shared" si="21"/>
        <v>0</v>
      </c>
      <c r="F102" s="26">
        <f t="shared" si="22"/>
        <v>1220</v>
      </c>
      <c r="G102" s="26">
        <f t="shared" si="23"/>
        <v>63440</v>
      </c>
      <c r="H102" s="26">
        <f t="shared" si="24"/>
        <v>12542</v>
      </c>
      <c r="I102" s="26">
        <f t="shared" si="25"/>
        <v>50898</v>
      </c>
      <c r="J102" s="26">
        <f t="shared" si="26"/>
        <v>978.80769230769226</v>
      </c>
      <c r="K102" s="26">
        <f t="shared" si="27"/>
        <v>978.80769230769226</v>
      </c>
      <c r="L102" s="26">
        <f t="shared" si="28"/>
        <v>0</v>
      </c>
      <c r="M102" s="26">
        <f t="shared" si="29"/>
        <v>59.654910714285734</v>
      </c>
      <c r="N102" s="27">
        <f t="shared" si="30"/>
        <v>145.54999999999998</v>
      </c>
      <c r="O102" s="27">
        <f t="shared" si="31"/>
        <v>0</v>
      </c>
      <c r="P102" s="26">
        <f t="shared" si="32"/>
        <v>1184.0126030219778</v>
      </c>
      <c r="Q102" s="26">
        <f t="shared" si="33"/>
        <v>61568.655357142845</v>
      </c>
      <c r="R102" s="16">
        <f t="shared" si="78"/>
        <v>0.8200000000000045</v>
      </c>
      <c r="S102" s="26">
        <f t="shared" si="35"/>
        <v>76738.655357142852</v>
      </c>
      <c r="T102" s="27">
        <f t="shared" si="36"/>
        <v>60</v>
      </c>
      <c r="U102" s="26">
        <f t="shared" si="60"/>
        <v>1124.0126030219778</v>
      </c>
      <c r="V102" s="16">
        <f t="shared" si="58"/>
        <v>0.8200000000000045</v>
      </c>
      <c r="W102" s="28">
        <f t="shared" si="61"/>
        <v>511.65</v>
      </c>
      <c r="X102" s="29">
        <f t="shared" si="37"/>
        <v>27</v>
      </c>
      <c r="Y102" s="29">
        <f t="shared" si="38"/>
        <v>679</v>
      </c>
      <c r="Z102" s="29">
        <f t="shared" si="39"/>
        <v>511.65</v>
      </c>
      <c r="AA102" s="28">
        <f t="shared" si="40"/>
        <v>0</v>
      </c>
      <c r="AB102" s="28">
        <f t="shared" si="41"/>
        <v>127.91249999999999</v>
      </c>
      <c r="AC102" s="28">
        <f t="shared" si="62"/>
        <v>172.08750000000001</v>
      </c>
      <c r="AD102" s="28">
        <f t="shared" si="42"/>
        <v>129.06562500000001</v>
      </c>
      <c r="AE102" s="13">
        <f t="shared" si="63"/>
        <v>129.06562500000001</v>
      </c>
      <c r="AF102" s="13">
        <f t="shared" si="64"/>
        <v>277.64285714285711</v>
      </c>
      <c r="AG102" s="13">
        <f t="shared" si="43"/>
        <v>59.654910714285734</v>
      </c>
      <c r="AH102" s="28">
        <f t="shared" si="65"/>
        <v>231.81</v>
      </c>
      <c r="AI102" s="13">
        <f t="shared" si="66"/>
        <v>588</v>
      </c>
      <c r="AJ102" s="28">
        <f t="shared" si="67"/>
        <v>158.76000000000002</v>
      </c>
      <c r="AK102" s="13">
        <f t="shared" si="44"/>
        <v>73.049999999999983</v>
      </c>
      <c r="AL102" s="47">
        <f t="shared" si="45"/>
        <v>20</v>
      </c>
      <c r="AM102" s="13" t="str">
        <f t="shared" si="46"/>
        <v>N</v>
      </c>
      <c r="AN102" s="13">
        <f t="shared" si="47"/>
        <v>0</v>
      </c>
      <c r="AO102" s="13" t="str">
        <f t="shared" si="48"/>
        <v>Y</v>
      </c>
      <c r="AP102" s="13">
        <f t="shared" si="49"/>
        <v>72.5</v>
      </c>
      <c r="AQ102" s="13">
        <f t="shared" si="50"/>
        <v>0</v>
      </c>
      <c r="AR102" s="13">
        <f t="shared" si="51"/>
        <v>72.5</v>
      </c>
      <c r="AS102" s="9">
        <f t="shared" si="68"/>
        <v>2</v>
      </c>
      <c r="AT102" s="9">
        <f t="shared" si="69"/>
        <v>20</v>
      </c>
      <c r="AU102" s="9">
        <f t="shared" si="70"/>
        <v>0</v>
      </c>
      <c r="AV102" s="13">
        <f t="shared" si="71"/>
        <v>4.53</v>
      </c>
      <c r="AW102" s="13">
        <f t="shared" si="72"/>
        <v>0</v>
      </c>
      <c r="AX102" s="9">
        <f t="shared" si="73"/>
        <v>1</v>
      </c>
      <c r="AY102" s="9">
        <f t="shared" si="74"/>
        <v>0</v>
      </c>
      <c r="AZ102" s="28">
        <f t="shared" si="52"/>
        <v>0</v>
      </c>
      <c r="BA102" s="9">
        <f t="shared" si="75"/>
        <v>1</v>
      </c>
      <c r="BB102" s="9">
        <f t="shared" si="76"/>
        <v>0</v>
      </c>
      <c r="BC102" s="28">
        <f t="shared" si="53"/>
        <v>0</v>
      </c>
      <c r="BD102" s="28">
        <f t="shared" si="54"/>
        <v>0</v>
      </c>
      <c r="BE102" s="13">
        <f t="shared" si="55"/>
        <v>60</v>
      </c>
      <c r="BF102" s="13">
        <f t="shared" si="77"/>
        <v>0</v>
      </c>
      <c r="BG102" s="28">
        <f t="shared" si="56"/>
        <v>60</v>
      </c>
    </row>
    <row r="103" spans="1:59" x14ac:dyDescent="0.2">
      <c r="A103" s="8">
        <f t="shared" si="57"/>
        <v>62</v>
      </c>
      <c r="B103" s="26">
        <f t="shared" si="59"/>
        <v>1240</v>
      </c>
      <c r="C103" s="26">
        <f t="shared" si="19"/>
        <v>0</v>
      </c>
      <c r="D103" s="26">
        <f t="shared" si="20"/>
        <v>1240</v>
      </c>
      <c r="E103" s="27">
        <f t="shared" si="21"/>
        <v>0</v>
      </c>
      <c r="F103" s="26">
        <f t="shared" si="22"/>
        <v>1240</v>
      </c>
      <c r="G103" s="26">
        <f t="shared" si="23"/>
        <v>64480</v>
      </c>
      <c r="H103" s="26">
        <f t="shared" si="24"/>
        <v>12854</v>
      </c>
      <c r="I103" s="26">
        <f t="shared" si="25"/>
        <v>51626</v>
      </c>
      <c r="J103" s="26">
        <f t="shared" si="26"/>
        <v>992.80769230769226</v>
      </c>
      <c r="K103" s="26">
        <f t="shared" si="27"/>
        <v>992.80769230769226</v>
      </c>
      <c r="L103" s="26">
        <f t="shared" si="28"/>
        <v>0</v>
      </c>
      <c r="M103" s="26">
        <f t="shared" si="29"/>
        <v>54.654910714285734</v>
      </c>
      <c r="N103" s="27">
        <f t="shared" si="30"/>
        <v>140.14999999999998</v>
      </c>
      <c r="O103" s="27">
        <f t="shared" si="31"/>
        <v>0</v>
      </c>
      <c r="P103" s="26">
        <f t="shared" si="32"/>
        <v>1187.612603021978</v>
      </c>
      <c r="Q103" s="26">
        <f t="shared" si="33"/>
        <v>61755.855357142857</v>
      </c>
      <c r="R103" s="16">
        <f t="shared" si="78"/>
        <v>0.81999999999999318</v>
      </c>
      <c r="S103" s="26">
        <f t="shared" si="35"/>
        <v>76925.855357142864</v>
      </c>
      <c r="T103" s="27">
        <f t="shared" si="36"/>
        <v>60</v>
      </c>
      <c r="U103" s="26">
        <f t="shared" si="60"/>
        <v>1127.612603021978</v>
      </c>
      <c r="V103" s="16">
        <f t="shared" si="58"/>
        <v>0.81999999999999318</v>
      </c>
      <c r="W103" s="28">
        <f t="shared" si="61"/>
        <v>511.65</v>
      </c>
      <c r="X103" s="29">
        <f t="shared" si="37"/>
        <v>27</v>
      </c>
      <c r="Y103" s="29">
        <f t="shared" si="38"/>
        <v>693</v>
      </c>
      <c r="Z103" s="29">
        <f t="shared" si="39"/>
        <v>511.65</v>
      </c>
      <c r="AA103" s="28">
        <f t="shared" si="40"/>
        <v>0</v>
      </c>
      <c r="AB103" s="28">
        <f t="shared" si="41"/>
        <v>127.91249999999999</v>
      </c>
      <c r="AC103" s="28">
        <f t="shared" si="62"/>
        <v>172.08750000000001</v>
      </c>
      <c r="AD103" s="28">
        <f t="shared" si="42"/>
        <v>129.06562500000001</v>
      </c>
      <c r="AE103" s="13">
        <f t="shared" si="63"/>
        <v>129.06562500000001</v>
      </c>
      <c r="AF103" s="13">
        <f t="shared" si="64"/>
        <v>297.64285714285711</v>
      </c>
      <c r="AG103" s="13">
        <f t="shared" si="43"/>
        <v>54.654910714285734</v>
      </c>
      <c r="AH103" s="28">
        <f t="shared" si="65"/>
        <v>231.81</v>
      </c>
      <c r="AI103" s="13">
        <f t="shared" si="66"/>
        <v>608</v>
      </c>
      <c r="AJ103" s="28">
        <f t="shared" si="67"/>
        <v>164.16000000000003</v>
      </c>
      <c r="AK103" s="13">
        <f t="shared" si="44"/>
        <v>67.649999999999977</v>
      </c>
      <c r="AL103" s="47">
        <f t="shared" si="45"/>
        <v>20</v>
      </c>
      <c r="AM103" s="13" t="str">
        <f t="shared" si="46"/>
        <v>N</v>
      </c>
      <c r="AN103" s="13">
        <f t="shared" si="47"/>
        <v>0</v>
      </c>
      <c r="AO103" s="13" t="str">
        <f t="shared" si="48"/>
        <v>Y</v>
      </c>
      <c r="AP103" s="13">
        <f t="shared" si="49"/>
        <v>72.5</v>
      </c>
      <c r="AQ103" s="13">
        <f t="shared" si="50"/>
        <v>0</v>
      </c>
      <c r="AR103" s="13">
        <f t="shared" si="51"/>
        <v>72.5</v>
      </c>
      <c r="AS103" s="9">
        <f t="shared" si="68"/>
        <v>2</v>
      </c>
      <c r="AT103" s="9">
        <f t="shared" si="69"/>
        <v>20</v>
      </c>
      <c r="AU103" s="9">
        <f t="shared" si="70"/>
        <v>0</v>
      </c>
      <c r="AV103" s="13">
        <f t="shared" si="71"/>
        <v>4.53</v>
      </c>
      <c r="AW103" s="13">
        <f t="shared" si="72"/>
        <v>0</v>
      </c>
      <c r="AX103" s="9">
        <f t="shared" si="73"/>
        <v>1</v>
      </c>
      <c r="AY103" s="9">
        <f t="shared" si="74"/>
        <v>0</v>
      </c>
      <c r="AZ103" s="28">
        <f t="shared" si="52"/>
        <v>0</v>
      </c>
      <c r="BA103" s="9">
        <f t="shared" si="75"/>
        <v>1</v>
      </c>
      <c r="BB103" s="9">
        <f t="shared" si="76"/>
        <v>0</v>
      </c>
      <c r="BC103" s="28">
        <f t="shared" si="53"/>
        <v>0</v>
      </c>
      <c r="BD103" s="28">
        <f t="shared" si="54"/>
        <v>0</v>
      </c>
      <c r="BE103" s="13">
        <f t="shared" si="55"/>
        <v>60</v>
      </c>
      <c r="BF103" s="13">
        <f t="shared" si="77"/>
        <v>0</v>
      </c>
      <c r="BG103" s="28">
        <f t="shared" si="56"/>
        <v>60</v>
      </c>
    </row>
    <row r="104" spans="1:59" x14ac:dyDescent="0.2">
      <c r="A104" s="8">
        <f t="shared" si="57"/>
        <v>63</v>
      </c>
      <c r="B104" s="26">
        <f t="shared" si="59"/>
        <v>1260</v>
      </c>
      <c r="C104" s="26">
        <f t="shared" si="19"/>
        <v>0</v>
      </c>
      <c r="D104" s="26">
        <f t="shared" si="20"/>
        <v>1260</v>
      </c>
      <c r="E104" s="27">
        <f t="shared" si="21"/>
        <v>0</v>
      </c>
      <c r="F104" s="26">
        <f t="shared" si="22"/>
        <v>1260</v>
      </c>
      <c r="G104" s="26">
        <f t="shared" si="23"/>
        <v>65520</v>
      </c>
      <c r="H104" s="26">
        <f t="shared" si="24"/>
        <v>13166</v>
      </c>
      <c r="I104" s="26">
        <f t="shared" si="25"/>
        <v>52354</v>
      </c>
      <c r="J104" s="26">
        <f t="shared" si="26"/>
        <v>1006.8076923076923</v>
      </c>
      <c r="K104" s="26">
        <f t="shared" si="27"/>
        <v>1006.8076923076923</v>
      </c>
      <c r="L104" s="26">
        <f t="shared" si="28"/>
        <v>0</v>
      </c>
      <c r="M104" s="26">
        <f t="shared" si="29"/>
        <v>49.654910714285734</v>
      </c>
      <c r="N104" s="27">
        <f t="shared" si="30"/>
        <v>134.75</v>
      </c>
      <c r="O104" s="27">
        <f t="shared" si="31"/>
        <v>0</v>
      </c>
      <c r="P104" s="26">
        <f t="shared" si="32"/>
        <v>1191.2126030219779</v>
      </c>
      <c r="Q104" s="26">
        <f t="shared" si="33"/>
        <v>61943.055357142846</v>
      </c>
      <c r="R104" s="16">
        <f t="shared" si="78"/>
        <v>0.8200000000000045</v>
      </c>
      <c r="S104" s="26">
        <f t="shared" si="35"/>
        <v>77113.055357142846</v>
      </c>
      <c r="T104" s="27">
        <f t="shared" si="36"/>
        <v>60</v>
      </c>
      <c r="U104" s="26">
        <f t="shared" si="60"/>
        <v>1131.2126030219779</v>
      </c>
      <c r="V104" s="16">
        <f t="shared" si="58"/>
        <v>0.8200000000000045</v>
      </c>
      <c r="W104" s="28">
        <f t="shared" si="61"/>
        <v>511.65</v>
      </c>
      <c r="X104" s="29">
        <f t="shared" si="37"/>
        <v>27</v>
      </c>
      <c r="Y104" s="29">
        <f t="shared" si="38"/>
        <v>707</v>
      </c>
      <c r="Z104" s="29">
        <f t="shared" si="39"/>
        <v>511.65</v>
      </c>
      <c r="AA104" s="28">
        <f t="shared" si="40"/>
        <v>0</v>
      </c>
      <c r="AB104" s="28">
        <f t="shared" si="41"/>
        <v>127.91249999999999</v>
      </c>
      <c r="AC104" s="28">
        <f t="shared" si="62"/>
        <v>172.08750000000001</v>
      </c>
      <c r="AD104" s="28">
        <f t="shared" si="42"/>
        <v>129.06562500000001</v>
      </c>
      <c r="AE104" s="13">
        <f t="shared" si="63"/>
        <v>129.06562500000001</v>
      </c>
      <c r="AF104" s="13">
        <f t="shared" si="64"/>
        <v>317.64285714285711</v>
      </c>
      <c r="AG104" s="13">
        <f t="shared" si="43"/>
        <v>49.654910714285734</v>
      </c>
      <c r="AH104" s="28">
        <f t="shared" si="65"/>
        <v>231.81</v>
      </c>
      <c r="AI104" s="13">
        <f t="shared" si="66"/>
        <v>628</v>
      </c>
      <c r="AJ104" s="28">
        <f t="shared" si="67"/>
        <v>169.56</v>
      </c>
      <c r="AK104" s="13">
        <f t="shared" si="44"/>
        <v>62.25</v>
      </c>
      <c r="AL104" s="47">
        <f t="shared" si="45"/>
        <v>20</v>
      </c>
      <c r="AM104" s="13" t="str">
        <f t="shared" si="46"/>
        <v>N</v>
      </c>
      <c r="AN104" s="13">
        <f t="shared" si="47"/>
        <v>0</v>
      </c>
      <c r="AO104" s="13" t="str">
        <f t="shared" si="48"/>
        <v>Y</v>
      </c>
      <c r="AP104" s="13">
        <f t="shared" si="49"/>
        <v>72.5</v>
      </c>
      <c r="AQ104" s="13">
        <f t="shared" si="50"/>
        <v>0</v>
      </c>
      <c r="AR104" s="13">
        <f t="shared" si="51"/>
        <v>72.5</v>
      </c>
      <c r="AS104" s="9">
        <f t="shared" si="68"/>
        <v>2</v>
      </c>
      <c r="AT104" s="9">
        <f t="shared" si="69"/>
        <v>20</v>
      </c>
      <c r="AU104" s="9">
        <f t="shared" si="70"/>
        <v>0</v>
      </c>
      <c r="AV104" s="13">
        <f t="shared" si="71"/>
        <v>4.53</v>
      </c>
      <c r="AW104" s="13">
        <f t="shared" si="72"/>
        <v>0</v>
      </c>
      <c r="AX104" s="9">
        <f t="shared" si="73"/>
        <v>1</v>
      </c>
      <c r="AY104" s="9">
        <f t="shared" si="74"/>
        <v>0</v>
      </c>
      <c r="AZ104" s="28">
        <f t="shared" si="52"/>
        <v>0</v>
      </c>
      <c r="BA104" s="9">
        <f t="shared" si="75"/>
        <v>1</v>
      </c>
      <c r="BB104" s="9">
        <f t="shared" si="76"/>
        <v>0</v>
      </c>
      <c r="BC104" s="28">
        <f t="shared" si="53"/>
        <v>0</v>
      </c>
      <c r="BD104" s="28">
        <f t="shared" si="54"/>
        <v>0</v>
      </c>
      <c r="BE104" s="13">
        <f t="shared" si="55"/>
        <v>60</v>
      </c>
      <c r="BF104" s="13">
        <f t="shared" si="77"/>
        <v>0</v>
      </c>
      <c r="BG104" s="28">
        <f t="shared" si="56"/>
        <v>60</v>
      </c>
    </row>
    <row r="105" spans="1:59" x14ac:dyDescent="0.2">
      <c r="A105" s="8">
        <f t="shared" si="57"/>
        <v>64</v>
      </c>
      <c r="B105" s="26">
        <f t="shared" si="59"/>
        <v>1280</v>
      </c>
      <c r="C105" s="26">
        <f t="shared" si="19"/>
        <v>0</v>
      </c>
      <c r="D105" s="26">
        <f t="shared" si="20"/>
        <v>1280</v>
      </c>
      <c r="E105" s="27">
        <f t="shared" si="21"/>
        <v>0</v>
      </c>
      <c r="F105" s="26">
        <f t="shared" si="22"/>
        <v>1280</v>
      </c>
      <c r="G105" s="26">
        <f t="shared" si="23"/>
        <v>66560</v>
      </c>
      <c r="H105" s="26">
        <f t="shared" si="24"/>
        <v>13478</v>
      </c>
      <c r="I105" s="26">
        <f t="shared" si="25"/>
        <v>53082</v>
      </c>
      <c r="J105" s="26">
        <f t="shared" si="26"/>
        <v>1020.8076923076923</v>
      </c>
      <c r="K105" s="26">
        <f t="shared" si="27"/>
        <v>1020.8076923076923</v>
      </c>
      <c r="L105" s="26">
        <f t="shared" si="28"/>
        <v>0</v>
      </c>
      <c r="M105" s="26">
        <f t="shared" si="29"/>
        <v>44.654910714285734</v>
      </c>
      <c r="N105" s="27">
        <f t="shared" si="30"/>
        <v>129.35</v>
      </c>
      <c r="O105" s="27">
        <f t="shared" si="31"/>
        <v>0</v>
      </c>
      <c r="P105" s="26">
        <f t="shared" si="32"/>
        <v>1194.8126030219778</v>
      </c>
      <c r="Q105" s="26">
        <f t="shared" si="33"/>
        <v>62130.255357142843</v>
      </c>
      <c r="R105" s="16">
        <f t="shared" si="78"/>
        <v>0.8200000000000045</v>
      </c>
      <c r="S105" s="26">
        <f t="shared" si="35"/>
        <v>77300.255357142843</v>
      </c>
      <c r="T105" s="27">
        <f t="shared" si="36"/>
        <v>60</v>
      </c>
      <c r="U105" s="26">
        <f t="shared" si="60"/>
        <v>1134.8126030219778</v>
      </c>
      <c r="V105" s="16">
        <f t="shared" si="58"/>
        <v>0.8200000000000045</v>
      </c>
      <c r="W105" s="28">
        <f t="shared" si="61"/>
        <v>511.65</v>
      </c>
      <c r="X105" s="29">
        <f t="shared" si="37"/>
        <v>27</v>
      </c>
      <c r="Y105" s="29">
        <f t="shared" si="38"/>
        <v>721</v>
      </c>
      <c r="Z105" s="29">
        <f t="shared" si="39"/>
        <v>511.65</v>
      </c>
      <c r="AA105" s="28">
        <f t="shared" si="40"/>
        <v>0</v>
      </c>
      <c r="AB105" s="28">
        <f t="shared" si="41"/>
        <v>127.91249999999999</v>
      </c>
      <c r="AC105" s="28">
        <f t="shared" si="62"/>
        <v>172.08750000000001</v>
      </c>
      <c r="AD105" s="28">
        <f t="shared" si="42"/>
        <v>129.06562500000001</v>
      </c>
      <c r="AE105" s="13">
        <f t="shared" si="63"/>
        <v>129.06562500000001</v>
      </c>
      <c r="AF105" s="13">
        <f t="shared" si="64"/>
        <v>337.64285714285711</v>
      </c>
      <c r="AG105" s="13">
        <f t="shared" si="43"/>
        <v>44.654910714285734</v>
      </c>
      <c r="AH105" s="28">
        <f t="shared" si="65"/>
        <v>231.81</v>
      </c>
      <c r="AI105" s="13">
        <f t="shared" si="66"/>
        <v>648</v>
      </c>
      <c r="AJ105" s="28">
        <f t="shared" si="67"/>
        <v>174.96</v>
      </c>
      <c r="AK105" s="13">
        <f t="shared" si="44"/>
        <v>56.849999999999994</v>
      </c>
      <c r="AL105" s="47">
        <f t="shared" si="45"/>
        <v>20</v>
      </c>
      <c r="AM105" s="13" t="str">
        <f t="shared" si="46"/>
        <v>N</v>
      </c>
      <c r="AN105" s="13">
        <f t="shared" si="47"/>
        <v>0</v>
      </c>
      <c r="AO105" s="13" t="str">
        <f t="shared" si="48"/>
        <v>Y</v>
      </c>
      <c r="AP105" s="13">
        <f t="shared" si="49"/>
        <v>72.5</v>
      </c>
      <c r="AQ105" s="13">
        <f t="shared" si="50"/>
        <v>0</v>
      </c>
      <c r="AR105" s="13">
        <f t="shared" si="51"/>
        <v>72.5</v>
      </c>
      <c r="AS105" s="9">
        <f t="shared" si="68"/>
        <v>2</v>
      </c>
      <c r="AT105" s="9">
        <f t="shared" si="69"/>
        <v>20</v>
      </c>
      <c r="AU105" s="9">
        <f t="shared" si="70"/>
        <v>0</v>
      </c>
      <c r="AV105" s="13">
        <f t="shared" si="71"/>
        <v>4.53</v>
      </c>
      <c r="AW105" s="13">
        <f t="shared" si="72"/>
        <v>0</v>
      </c>
      <c r="AX105" s="9">
        <f t="shared" si="73"/>
        <v>1</v>
      </c>
      <c r="AY105" s="9">
        <f t="shared" si="74"/>
        <v>0</v>
      </c>
      <c r="AZ105" s="28">
        <f t="shared" si="52"/>
        <v>0</v>
      </c>
      <c r="BA105" s="9">
        <f t="shared" si="75"/>
        <v>1</v>
      </c>
      <c r="BB105" s="9">
        <f t="shared" si="76"/>
        <v>0</v>
      </c>
      <c r="BC105" s="28">
        <f t="shared" si="53"/>
        <v>0</v>
      </c>
      <c r="BD105" s="28">
        <f t="shared" si="54"/>
        <v>0</v>
      </c>
      <c r="BE105" s="13">
        <f t="shared" si="55"/>
        <v>60</v>
      </c>
      <c r="BF105" s="13">
        <f t="shared" si="77"/>
        <v>0</v>
      </c>
      <c r="BG105" s="28">
        <f t="shared" si="56"/>
        <v>60</v>
      </c>
    </row>
    <row r="106" spans="1:59" x14ac:dyDescent="0.2">
      <c r="A106" s="8">
        <f t="shared" si="57"/>
        <v>65</v>
      </c>
      <c r="B106" s="26">
        <f t="shared" si="59"/>
        <v>1300</v>
      </c>
      <c r="C106" s="26">
        <f t="shared" si="19"/>
        <v>0</v>
      </c>
      <c r="D106" s="26">
        <f t="shared" si="20"/>
        <v>1300</v>
      </c>
      <c r="E106" s="27">
        <f t="shared" si="21"/>
        <v>0</v>
      </c>
      <c r="F106" s="26">
        <f t="shared" si="22"/>
        <v>1300</v>
      </c>
      <c r="G106" s="26">
        <f t="shared" si="23"/>
        <v>67600</v>
      </c>
      <c r="H106" s="26">
        <f t="shared" si="24"/>
        <v>13790</v>
      </c>
      <c r="I106" s="26">
        <f t="shared" si="25"/>
        <v>53810</v>
      </c>
      <c r="J106" s="26">
        <f t="shared" si="26"/>
        <v>1034.8076923076924</v>
      </c>
      <c r="K106" s="26">
        <f t="shared" si="27"/>
        <v>1034.8076923076924</v>
      </c>
      <c r="L106" s="26">
        <f t="shared" si="28"/>
        <v>0</v>
      </c>
      <c r="M106" s="26">
        <f t="shared" si="29"/>
        <v>39.654910714285734</v>
      </c>
      <c r="N106" s="27">
        <f t="shared" si="30"/>
        <v>123.94999999999999</v>
      </c>
      <c r="O106" s="27">
        <f t="shared" si="31"/>
        <v>0</v>
      </c>
      <c r="P106" s="26">
        <f t="shared" si="32"/>
        <v>1198.4126030219782</v>
      </c>
      <c r="Q106" s="26">
        <f t="shared" si="33"/>
        <v>62317.455357142862</v>
      </c>
      <c r="R106" s="16">
        <f t="shared" si="78"/>
        <v>0.81999999999998185</v>
      </c>
      <c r="S106" s="26">
        <f t="shared" si="35"/>
        <v>77487.45535714287</v>
      </c>
      <c r="T106" s="27">
        <f t="shared" si="36"/>
        <v>60</v>
      </c>
      <c r="U106" s="26">
        <f t="shared" si="60"/>
        <v>1138.4126030219782</v>
      </c>
      <c r="V106" s="16">
        <f t="shared" si="58"/>
        <v>0.81999999999998185</v>
      </c>
      <c r="W106" s="28">
        <f t="shared" si="61"/>
        <v>511.65</v>
      </c>
      <c r="X106" s="29">
        <f t="shared" si="37"/>
        <v>27</v>
      </c>
      <c r="Y106" s="29">
        <f t="shared" si="38"/>
        <v>735</v>
      </c>
      <c r="Z106" s="29">
        <f t="shared" si="39"/>
        <v>511.65</v>
      </c>
      <c r="AA106" s="28">
        <f t="shared" si="40"/>
        <v>0</v>
      </c>
      <c r="AB106" s="28">
        <f t="shared" si="41"/>
        <v>127.91249999999999</v>
      </c>
      <c r="AC106" s="28">
        <f t="shared" si="62"/>
        <v>172.08750000000001</v>
      </c>
      <c r="AD106" s="28">
        <f t="shared" si="42"/>
        <v>129.06562500000001</v>
      </c>
      <c r="AE106" s="13">
        <f t="shared" si="63"/>
        <v>129.06562500000001</v>
      </c>
      <c r="AF106" s="13">
        <f t="shared" si="64"/>
        <v>357.64285714285711</v>
      </c>
      <c r="AG106" s="13">
        <f t="shared" si="43"/>
        <v>39.654910714285734</v>
      </c>
      <c r="AH106" s="28">
        <f t="shared" si="65"/>
        <v>231.81</v>
      </c>
      <c r="AI106" s="13">
        <f t="shared" si="66"/>
        <v>668</v>
      </c>
      <c r="AJ106" s="28">
        <f t="shared" si="67"/>
        <v>180.36</v>
      </c>
      <c r="AK106" s="13">
        <f t="shared" si="44"/>
        <v>51.449999999999989</v>
      </c>
      <c r="AL106" s="47">
        <f t="shared" si="45"/>
        <v>20</v>
      </c>
      <c r="AM106" s="13" t="str">
        <f t="shared" si="46"/>
        <v>N</v>
      </c>
      <c r="AN106" s="13">
        <f t="shared" si="47"/>
        <v>0</v>
      </c>
      <c r="AO106" s="13" t="str">
        <f t="shared" si="48"/>
        <v>Y</v>
      </c>
      <c r="AP106" s="13">
        <f t="shared" si="49"/>
        <v>72.5</v>
      </c>
      <c r="AQ106" s="13">
        <f t="shared" si="50"/>
        <v>0</v>
      </c>
      <c r="AR106" s="13">
        <f t="shared" si="51"/>
        <v>72.5</v>
      </c>
      <c r="AS106" s="9">
        <f t="shared" si="68"/>
        <v>2</v>
      </c>
      <c r="AT106" s="9">
        <f t="shared" si="69"/>
        <v>20</v>
      </c>
      <c r="AU106" s="9">
        <f t="shared" si="70"/>
        <v>0</v>
      </c>
      <c r="AV106" s="13">
        <f t="shared" si="71"/>
        <v>4.53</v>
      </c>
      <c r="AW106" s="13">
        <f t="shared" si="72"/>
        <v>0</v>
      </c>
      <c r="AX106" s="9">
        <f t="shared" si="73"/>
        <v>1</v>
      </c>
      <c r="AY106" s="9">
        <f t="shared" si="74"/>
        <v>0</v>
      </c>
      <c r="AZ106" s="28">
        <f t="shared" si="52"/>
        <v>0</v>
      </c>
      <c r="BA106" s="9">
        <f t="shared" si="75"/>
        <v>1</v>
      </c>
      <c r="BB106" s="9">
        <f t="shared" si="76"/>
        <v>0</v>
      </c>
      <c r="BC106" s="28">
        <f t="shared" si="53"/>
        <v>0</v>
      </c>
      <c r="BD106" s="28">
        <f t="shared" si="54"/>
        <v>0</v>
      </c>
      <c r="BE106" s="13">
        <f t="shared" si="55"/>
        <v>60</v>
      </c>
      <c r="BF106" s="13">
        <f t="shared" si="77"/>
        <v>0</v>
      </c>
      <c r="BG106" s="28">
        <f t="shared" si="56"/>
        <v>60</v>
      </c>
    </row>
    <row r="107" spans="1:59" x14ac:dyDescent="0.2">
      <c r="A107" s="8">
        <f t="shared" si="57"/>
        <v>66</v>
      </c>
      <c r="B107" s="26">
        <f t="shared" si="59"/>
        <v>1320</v>
      </c>
      <c r="C107" s="26">
        <f t="shared" si="19"/>
        <v>0</v>
      </c>
      <c r="D107" s="26">
        <f t="shared" si="20"/>
        <v>1320</v>
      </c>
      <c r="E107" s="27">
        <f t="shared" si="21"/>
        <v>0</v>
      </c>
      <c r="F107" s="26">
        <f t="shared" si="22"/>
        <v>1320</v>
      </c>
      <c r="G107" s="26">
        <f t="shared" si="23"/>
        <v>68640</v>
      </c>
      <c r="H107" s="26">
        <f t="shared" si="24"/>
        <v>14102</v>
      </c>
      <c r="I107" s="26">
        <f t="shared" si="25"/>
        <v>54538</v>
      </c>
      <c r="J107" s="26">
        <f t="shared" si="26"/>
        <v>1048.8076923076924</v>
      </c>
      <c r="K107" s="26">
        <f t="shared" si="27"/>
        <v>1048.8076923076924</v>
      </c>
      <c r="L107" s="26">
        <f t="shared" si="28"/>
        <v>0</v>
      </c>
      <c r="M107" s="26">
        <f t="shared" si="29"/>
        <v>34.654910714285734</v>
      </c>
      <c r="N107" s="27">
        <f t="shared" si="30"/>
        <v>118.54999999999998</v>
      </c>
      <c r="O107" s="27">
        <f t="shared" si="31"/>
        <v>0</v>
      </c>
      <c r="P107" s="26">
        <f t="shared" si="32"/>
        <v>1202.0126030219781</v>
      </c>
      <c r="Q107" s="26">
        <f t="shared" si="33"/>
        <v>62504.655357142859</v>
      </c>
      <c r="R107" s="16">
        <f t="shared" si="78"/>
        <v>0.8200000000000045</v>
      </c>
      <c r="S107" s="26">
        <f t="shared" si="35"/>
        <v>77674.655357142852</v>
      </c>
      <c r="T107" s="27">
        <f t="shared" si="36"/>
        <v>60</v>
      </c>
      <c r="U107" s="26">
        <f t="shared" si="60"/>
        <v>1142.0126030219781</v>
      </c>
      <c r="V107" s="16">
        <f t="shared" si="58"/>
        <v>0.8200000000000045</v>
      </c>
      <c r="W107" s="28">
        <f t="shared" si="61"/>
        <v>511.65</v>
      </c>
      <c r="X107" s="29">
        <f t="shared" si="37"/>
        <v>27</v>
      </c>
      <c r="Y107" s="29">
        <f t="shared" si="38"/>
        <v>749</v>
      </c>
      <c r="Z107" s="29">
        <f t="shared" si="39"/>
        <v>511.65</v>
      </c>
      <c r="AA107" s="28">
        <f t="shared" si="40"/>
        <v>0</v>
      </c>
      <c r="AB107" s="28">
        <f t="shared" si="41"/>
        <v>127.91249999999999</v>
      </c>
      <c r="AC107" s="28">
        <f t="shared" si="62"/>
        <v>172.08750000000001</v>
      </c>
      <c r="AD107" s="28">
        <f t="shared" si="42"/>
        <v>129.06562500000001</v>
      </c>
      <c r="AE107" s="13">
        <f t="shared" si="63"/>
        <v>129.06562500000001</v>
      </c>
      <c r="AF107" s="13">
        <f t="shared" si="64"/>
        <v>377.64285714285711</v>
      </c>
      <c r="AG107" s="13">
        <f t="shared" si="43"/>
        <v>34.654910714285734</v>
      </c>
      <c r="AH107" s="28">
        <f t="shared" si="65"/>
        <v>231.81</v>
      </c>
      <c r="AI107" s="13">
        <f t="shared" si="66"/>
        <v>688</v>
      </c>
      <c r="AJ107" s="28">
        <f t="shared" si="67"/>
        <v>185.76000000000002</v>
      </c>
      <c r="AK107" s="13">
        <f t="shared" si="44"/>
        <v>46.049999999999983</v>
      </c>
      <c r="AL107" s="47">
        <f t="shared" si="45"/>
        <v>20</v>
      </c>
      <c r="AM107" s="13" t="str">
        <f t="shared" si="46"/>
        <v>N</v>
      </c>
      <c r="AN107" s="13">
        <f t="shared" si="47"/>
        <v>0</v>
      </c>
      <c r="AO107" s="13" t="str">
        <f t="shared" si="48"/>
        <v>Y</v>
      </c>
      <c r="AP107" s="13">
        <f t="shared" si="49"/>
        <v>72.5</v>
      </c>
      <c r="AQ107" s="13">
        <f t="shared" si="50"/>
        <v>0</v>
      </c>
      <c r="AR107" s="13">
        <f t="shared" si="51"/>
        <v>72.5</v>
      </c>
      <c r="AS107" s="9">
        <f t="shared" si="68"/>
        <v>2</v>
      </c>
      <c r="AT107" s="9">
        <f t="shared" si="69"/>
        <v>20</v>
      </c>
      <c r="AU107" s="9">
        <f t="shared" si="70"/>
        <v>0</v>
      </c>
      <c r="AV107" s="13">
        <f t="shared" si="71"/>
        <v>4.53</v>
      </c>
      <c r="AW107" s="13">
        <f t="shared" si="72"/>
        <v>0</v>
      </c>
      <c r="AX107" s="9">
        <f t="shared" si="73"/>
        <v>1</v>
      </c>
      <c r="AY107" s="9">
        <f t="shared" si="74"/>
        <v>0</v>
      </c>
      <c r="AZ107" s="28">
        <f t="shared" si="52"/>
        <v>0</v>
      </c>
      <c r="BA107" s="9">
        <f t="shared" si="75"/>
        <v>1</v>
      </c>
      <c r="BB107" s="9">
        <f t="shared" si="76"/>
        <v>0</v>
      </c>
      <c r="BC107" s="28">
        <f t="shared" si="53"/>
        <v>0</v>
      </c>
      <c r="BD107" s="28">
        <f t="shared" si="54"/>
        <v>0</v>
      </c>
      <c r="BE107" s="13">
        <f t="shared" si="55"/>
        <v>60</v>
      </c>
      <c r="BF107" s="13">
        <f t="shared" si="77"/>
        <v>0</v>
      </c>
      <c r="BG107" s="28">
        <f t="shared" si="56"/>
        <v>60</v>
      </c>
    </row>
    <row r="108" spans="1:59" x14ac:dyDescent="0.2">
      <c r="A108" s="8">
        <f t="shared" si="57"/>
        <v>67</v>
      </c>
      <c r="B108" s="26">
        <f t="shared" si="59"/>
        <v>1340</v>
      </c>
      <c r="C108" s="26">
        <f t="shared" si="19"/>
        <v>0</v>
      </c>
      <c r="D108" s="26">
        <f t="shared" si="20"/>
        <v>1340</v>
      </c>
      <c r="E108" s="27">
        <f t="shared" si="21"/>
        <v>0</v>
      </c>
      <c r="F108" s="26">
        <f t="shared" si="22"/>
        <v>1340</v>
      </c>
      <c r="G108" s="26">
        <f t="shared" si="23"/>
        <v>69680</v>
      </c>
      <c r="H108" s="26">
        <f t="shared" si="24"/>
        <v>14414</v>
      </c>
      <c r="I108" s="26">
        <f t="shared" si="25"/>
        <v>55266</v>
      </c>
      <c r="J108" s="26">
        <f t="shared" si="26"/>
        <v>1062.8076923076924</v>
      </c>
      <c r="K108" s="26">
        <f t="shared" si="27"/>
        <v>1062.8076923076924</v>
      </c>
      <c r="L108" s="26">
        <f t="shared" si="28"/>
        <v>0</v>
      </c>
      <c r="M108" s="26">
        <f t="shared" si="29"/>
        <v>29.654910714285734</v>
      </c>
      <c r="N108" s="27">
        <f t="shared" si="30"/>
        <v>113.14999999999998</v>
      </c>
      <c r="O108" s="27">
        <f t="shared" si="31"/>
        <v>0</v>
      </c>
      <c r="P108" s="26">
        <f t="shared" si="32"/>
        <v>1205.612603021978</v>
      </c>
      <c r="Q108" s="26">
        <f t="shared" si="33"/>
        <v>62691.855357142857</v>
      </c>
      <c r="R108" s="16">
        <f t="shared" si="78"/>
        <v>0.8200000000000045</v>
      </c>
      <c r="S108" s="26">
        <f t="shared" si="35"/>
        <v>77861.855357142864</v>
      </c>
      <c r="T108" s="27">
        <f t="shared" si="36"/>
        <v>60</v>
      </c>
      <c r="U108" s="26">
        <f t="shared" si="60"/>
        <v>1145.612603021978</v>
      </c>
      <c r="V108" s="16">
        <f t="shared" si="58"/>
        <v>0.8200000000000045</v>
      </c>
      <c r="W108" s="28">
        <f t="shared" si="61"/>
        <v>511.65</v>
      </c>
      <c r="X108" s="29">
        <f t="shared" si="37"/>
        <v>27</v>
      </c>
      <c r="Y108" s="29">
        <f t="shared" si="38"/>
        <v>763</v>
      </c>
      <c r="Z108" s="29">
        <f t="shared" si="39"/>
        <v>511.65</v>
      </c>
      <c r="AA108" s="28">
        <f t="shared" si="40"/>
        <v>0</v>
      </c>
      <c r="AB108" s="28">
        <f t="shared" si="41"/>
        <v>127.91249999999999</v>
      </c>
      <c r="AC108" s="28">
        <f t="shared" si="62"/>
        <v>172.08750000000001</v>
      </c>
      <c r="AD108" s="28">
        <f t="shared" si="42"/>
        <v>129.06562500000001</v>
      </c>
      <c r="AE108" s="13">
        <f t="shared" si="63"/>
        <v>129.06562500000001</v>
      </c>
      <c r="AF108" s="13">
        <f t="shared" si="64"/>
        <v>397.64285714285711</v>
      </c>
      <c r="AG108" s="13">
        <f t="shared" si="43"/>
        <v>29.654910714285734</v>
      </c>
      <c r="AH108" s="28">
        <f t="shared" si="65"/>
        <v>231.81</v>
      </c>
      <c r="AI108" s="13">
        <f t="shared" si="66"/>
        <v>708</v>
      </c>
      <c r="AJ108" s="28">
        <f t="shared" si="67"/>
        <v>191.16000000000003</v>
      </c>
      <c r="AK108" s="13">
        <f t="shared" si="44"/>
        <v>40.649999999999977</v>
      </c>
      <c r="AL108" s="47">
        <f t="shared" si="45"/>
        <v>20</v>
      </c>
      <c r="AM108" s="13" t="str">
        <f t="shared" si="46"/>
        <v>N</v>
      </c>
      <c r="AN108" s="13">
        <f t="shared" si="47"/>
        <v>0</v>
      </c>
      <c r="AO108" s="13" t="str">
        <f t="shared" si="48"/>
        <v>Y</v>
      </c>
      <c r="AP108" s="13">
        <f t="shared" si="49"/>
        <v>72.5</v>
      </c>
      <c r="AQ108" s="13">
        <f t="shared" si="50"/>
        <v>0</v>
      </c>
      <c r="AR108" s="13">
        <f t="shared" si="51"/>
        <v>72.5</v>
      </c>
      <c r="AS108" s="9">
        <f t="shared" si="68"/>
        <v>2</v>
      </c>
      <c r="AT108" s="9">
        <f t="shared" si="69"/>
        <v>20</v>
      </c>
      <c r="AU108" s="9">
        <f t="shared" si="70"/>
        <v>0</v>
      </c>
      <c r="AV108" s="13">
        <f t="shared" si="71"/>
        <v>4.53</v>
      </c>
      <c r="AW108" s="13">
        <f t="shared" si="72"/>
        <v>0</v>
      </c>
      <c r="AX108" s="9">
        <f t="shared" si="73"/>
        <v>1</v>
      </c>
      <c r="AY108" s="9">
        <f t="shared" si="74"/>
        <v>0</v>
      </c>
      <c r="AZ108" s="28">
        <f t="shared" si="52"/>
        <v>0</v>
      </c>
      <c r="BA108" s="9">
        <f t="shared" si="75"/>
        <v>1</v>
      </c>
      <c r="BB108" s="9">
        <f t="shared" si="76"/>
        <v>0</v>
      </c>
      <c r="BC108" s="28">
        <f t="shared" si="53"/>
        <v>0</v>
      </c>
      <c r="BD108" s="28">
        <f t="shared" si="54"/>
        <v>0</v>
      </c>
      <c r="BE108" s="13">
        <f t="shared" si="55"/>
        <v>60</v>
      </c>
      <c r="BF108" s="13">
        <f t="shared" si="77"/>
        <v>0</v>
      </c>
      <c r="BG108" s="28">
        <f t="shared" si="56"/>
        <v>60</v>
      </c>
    </row>
    <row r="109" spans="1:59" x14ac:dyDescent="0.2">
      <c r="A109" s="8">
        <f t="shared" si="57"/>
        <v>68</v>
      </c>
      <c r="B109" s="26">
        <f t="shared" si="59"/>
        <v>1360</v>
      </c>
      <c r="C109" s="26">
        <f t="shared" si="19"/>
        <v>0</v>
      </c>
      <c r="D109" s="26">
        <f t="shared" si="20"/>
        <v>1360</v>
      </c>
      <c r="E109" s="27">
        <f t="shared" si="21"/>
        <v>0</v>
      </c>
      <c r="F109" s="26">
        <f t="shared" si="22"/>
        <v>1360</v>
      </c>
      <c r="G109" s="26">
        <f t="shared" si="23"/>
        <v>70720</v>
      </c>
      <c r="H109" s="26">
        <f t="shared" si="24"/>
        <v>15407.6</v>
      </c>
      <c r="I109" s="26">
        <f t="shared" si="25"/>
        <v>55312.4</v>
      </c>
      <c r="J109" s="26">
        <f t="shared" si="26"/>
        <v>1063.7</v>
      </c>
      <c r="K109" s="26">
        <f t="shared" si="27"/>
        <v>1063.7</v>
      </c>
      <c r="L109" s="26">
        <f t="shared" si="28"/>
        <v>0</v>
      </c>
      <c r="M109" s="26">
        <f t="shared" si="29"/>
        <v>24.654910714285734</v>
      </c>
      <c r="N109" s="27">
        <f t="shared" si="30"/>
        <v>107.75</v>
      </c>
      <c r="O109" s="27">
        <f t="shared" si="31"/>
        <v>0</v>
      </c>
      <c r="P109" s="26">
        <f t="shared" si="32"/>
        <v>1196.1049107142858</v>
      </c>
      <c r="Q109" s="26">
        <f t="shared" si="33"/>
        <v>62197.455357142862</v>
      </c>
      <c r="R109" s="16">
        <f t="shared" si="78"/>
        <v>1.4753846153846097</v>
      </c>
      <c r="S109" s="26">
        <f t="shared" si="35"/>
        <v>77367.45535714287</v>
      </c>
      <c r="T109" s="27">
        <f t="shared" si="36"/>
        <v>60</v>
      </c>
      <c r="U109" s="26">
        <f t="shared" si="60"/>
        <v>1136.1049107142858</v>
      </c>
      <c r="V109" s="16">
        <f t="shared" si="58"/>
        <v>1.4753846153846097</v>
      </c>
      <c r="W109" s="28">
        <f t="shared" si="61"/>
        <v>511.65</v>
      </c>
      <c r="X109" s="29">
        <f t="shared" si="37"/>
        <v>27</v>
      </c>
      <c r="Y109" s="29">
        <f t="shared" si="38"/>
        <v>777</v>
      </c>
      <c r="Z109" s="29">
        <f t="shared" si="39"/>
        <v>511.65</v>
      </c>
      <c r="AA109" s="28">
        <f t="shared" si="40"/>
        <v>0</v>
      </c>
      <c r="AB109" s="28">
        <f t="shared" si="41"/>
        <v>127.91249999999999</v>
      </c>
      <c r="AC109" s="28">
        <f t="shared" si="62"/>
        <v>172.08750000000001</v>
      </c>
      <c r="AD109" s="28">
        <f t="shared" si="42"/>
        <v>129.06562500000001</v>
      </c>
      <c r="AE109" s="13">
        <f t="shared" si="63"/>
        <v>129.06562500000001</v>
      </c>
      <c r="AF109" s="13">
        <f t="shared" si="64"/>
        <v>417.64285714285711</v>
      </c>
      <c r="AG109" s="13">
        <f t="shared" si="43"/>
        <v>24.654910714285734</v>
      </c>
      <c r="AH109" s="28">
        <f t="shared" si="65"/>
        <v>231.81</v>
      </c>
      <c r="AI109" s="13">
        <f t="shared" si="66"/>
        <v>728</v>
      </c>
      <c r="AJ109" s="28">
        <f t="shared" si="67"/>
        <v>196.56</v>
      </c>
      <c r="AK109" s="13">
        <f t="shared" si="44"/>
        <v>35.25</v>
      </c>
      <c r="AL109" s="47">
        <f t="shared" si="45"/>
        <v>20</v>
      </c>
      <c r="AM109" s="13" t="str">
        <f t="shared" si="46"/>
        <v>N</v>
      </c>
      <c r="AN109" s="13">
        <f t="shared" si="47"/>
        <v>0</v>
      </c>
      <c r="AO109" s="13" t="str">
        <f t="shared" si="48"/>
        <v>Y</v>
      </c>
      <c r="AP109" s="13">
        <f t="shared" si="49"/>
        <v>72.5</v>
      </c>
      <c r="AQ109" s="13">
        <f t="shared" si="50"/>
        <v>0</v>
      </c>
      <c r="AR109" s="13">
        <f t="shared" si="51"/>
        <v>72.5</v>
      </c>
      <c r="AS109" s="9">
        <f t="shared" si="68"/>
        <v>2</v>
      </c>
      <c r="AT109" s="9">
        <f t="shared" si="69"/>
        <v>20</v>
      </c>
      <c r="AU109" s="9">
        <f t="shared" si="70"/>
        <v>0</v>
      </c>
      <c r="AV109" s="13">
        <f t="shared" si="71"/>
        <v>4.53</v>
      </c>
      <c r="AW109" s="13">
        <f t="shared" si="72"/>
        <v>0</v>
      </c>
      <c r="AX109" s="9">
        <f t="shared" si="73"/>
        <v>1</v>
      </c>
      <c r="AY109" s="9">
        <f t="shared" si="74"/>
        <v>0</v>
      </c>
      <c r="AZ109" s="28">
        <f t="shared" si="52"/>
        <v>0</v>
      </c>
      <c r="BA109" s="9">
        <f t="shared" si="75"/>
        <v>1</v>
      </c>
      <c r="BB109" s="9">
        <f t="shared" si="76"/>
        <v>0</v>
      </c>
      <c r="BC109" s="28">
        <f t="shared" si="53"/>
        <v>0</v>
      </c>
      <c r="BD109" s="28">
        <f t="shared" si="54"/>
        <v>0</v>
      </c>
      <c r="BE109" s="13">
        <f t="shared" si="55"/>
        <v>60</v>
      </c>
      <c r="BF109" s="13">
        <f t="shared" si="77"/>
        <v>0</v>
      </c>
      <c r="BG109" s="28">
        <f t="shared" si="56"/>
        <v>60</v>
      </c>
    </row>
    <row r="110" spans="1:59" x14ac:dyDescent="0.2">
      <c r="A110" s="8">
        <f t="shared" si="57"/>
        <v>69</v>
      </c>
      <c r="B110" s="26">
        <f t="shared" si="59"/>
        <v>1380</v>
      </c>
      <c r="C110" s="26">
        <f t="shared" si="19"/>
        <v>0</v>
      </c>
      <c r="D110" s="26">
        <f t="shared" si="20"/>
        <v>1380</v>
      </c>
      <c r="E110" s="27">
        <f t="shared" si="21"/>
        <v>0</v>
      </c>
      <c r="F110" s="26">
        <f t="shared" si="22"/>
        <v>1380</v>
      </c>
      <c r="G110" s="26">
        <f t="shared" si="23"/>
        <v>71760</v>
      </c>
      <c r="H110" s="26">
        <f t="shared" si="24"/>
        <v>15750.8</v>
      </c>
      <c r="I110" s="26">
        <f t="shared" si="25"/>
        <v>56009.2</v>
      </c>
      <c r="J110" s="26">
        <f t="shared" si="26"/>
        <v>1077.0999999999999</v>
      </c>
      <c r="K110" s="26">
        <f t="shared" si="27"/>
        <v>1077.0999999999999</v>
      </c>
      <c r="L110" s="26">
        <f t="shared" si="28"/>
        <v>0</v>
      </c>
      <c r="M110" s="26">
        <f t="shared" si="29"/>
        <v>19.654910714285734</v>
      </c>
      <c r="N110" s="27">
        <f t="shared" si="30"/>
        <v>102.35</v>
      </c>
      <c r="O110" s="27">
        <f t="shared" si="31"/>
        <v>0</v>
      </c>
      <c r="P110" s="26">
        <f t="shared" si="32"/>
        <v>1199.1049107142856</v>
      </c>
      <c r="Q110" s="26">
        <f t="shared" si="33"/>
        <v>62353.455357142848</v>
      </c>
      <c r="R110" s="16">
        <f t="shared" si="78"/>
        <v>0.85000000000001141</v>
      </c>
      <c r="S110" s="26">
        <f t="shared" si="35"/>
        <v>77523.455357142841</v>
      </c>
      <c r="T110" s="27">
        <f t="shared" si="36"/>
        <v>60</v>
      </c>
      <c r="U110" s="26">
        <f t="shared" si="60"/>
        <v>1139.1049107142856</v>
      </c>
      <c r="V110" s="16">
        <f t="shared" si="58"/>
        <v>0.85000000000001141</v>
      </c>
      <c r="W110" s="28">
        <f t="shared" si="61"/>
        <v>511.65</v>
      </c>
      <c r="X110" s="29">
        <f t="shared" si="37"/>
        <v>27</v>
      </c>
      <c r="Y110" s="29">
        <f t="shared" si="38"/>
        <v>791</v>
      </c>
      <c r="Z110" s="29">
        <f t="shared" si="39"/>
        <v>511.65</v>
      </c>
      <c r="AA110" s="28">
        <f t="shared" si="40"/>
        <v>0</v>
      </c>
      <c r="AB110" s="28">
        <f t="shared" si="41"/>
        <v>127.91249999999999</v>
      </c>
      <c r="AC110" s="28">
        <f t="shared" si="62"/>
        <v>172.08750000000001</v>
      </c>
      <c r="AD110" s="28">
        <f t="shared" si="42"/>
        <v>129.06562500000001</v>
      </c>
      <c r="AE110" s="13">
        <f t="shared" si="63"/>
        <v>129.06562500000001</v>
      </c>
      <c r="AF110" s="13">
        <f t="shared" si="64"/>
        <v>437.64285714285711</v>
      </c>
      <c r="AG110" s="13">
        <f t="shared" si="43"/>
        <v>19.654910714285734</v>
      </c>
      <c r="AH110" s="28">
        <f t="shared" si="65"/>
        <v>231.81</v>
      </c>
      <c r="AI110" s="13">
        <f t="shared" si="66"/>
        <v>748</v>
      </c>
      <c r="AJ110" s="28">
        <f t="shared" si="67"/>
        <v>201.96</v>
      </c>
      <c r="AK110" s="13">
        <f t="shared" si="44"/>
        <v>29.849999999999994</v>
      </c>
      <c r="AL110" s="47">
        <f t="shared" si="45"/>
        <v>20</v>
      </c>
      <c r="AM110" s="13" t="str">
        <f t="shared" si="46"/>
        <v>N</v>
      </c>
      <c r="AN110" s="13">
        <f t="shared" si="47"/>
        <v>0</v>
      </c>
      <c r="AO110" s="13" t="str">
        <f t="shared" si="48"/>
        <v>Y</v>
      </c>
      <c r="AP110" s="13">
        <f t="shared" si="49"/>
        <v>72.5</v>
      </c>
      <c r="AQ110" s="13">
        <f t="shared" si="50"/>
        <v>0</v>
      </c>
      <c r="AR110" s="13">
        <f t="shared" si="51"/>
        <v>72.5</v>
      </c>
      <c r="AS110" s="9">
        <f t="shared" si="68"/>
        <v>2</v>
      </c>
      <c r="AT110" s="9">
        <f t="shared" si="69"/>
        <v>20</v>
      </c>
      <c r="AU110" s="9">
        <f t="shared" si="70"/>
        <v>0</v>
      </c>
      <c r="AV110" s="13">
        <f t="shared" si="71"/>
        <v>4.53</v>
      </c>
      <c r="AW110" s="13">
        <f t="shared" si="72"/>
        <v>0</v>
      </c>
      <c r="AX110" s="9">
        <f t="shared" si="73"/>
        <v>1</v>
      </c>
      <c r="AY110" s="9">
        <f t="shared" si="74"/>
        <v>0</v>
      </c>
      <c r="AZ110" s="28">
        <f t="shared" si="52"/>
        <v>0</v>
      </c>
      <c r="BA110" s="9">
        <f t="shared" si="75"/>
        <v>1</v>
      </c>
      <c r="BB110" s="9">
        <f t="shared" si="76"/>
        <v>0</v>
      </c>
      <c r="BC110" s="28">
        <f t="shared" si="53"/>
        <v>0</v>
      </c>
      <c r="BD110" s="28">
        <f t="shared" si="54"/>
        <v>0</v>
      </c>
      <c r="BE110" s="13">
        <f t="shared" si="55"/>
        <v>60</v>
      </c>
      <c r="BF110" s="13">
        <f t="shared" si="77"/>
        <v>0</v>
      </c>
      <c r="BG110" s="28">
        <f t="shared" si="56"/>
        <v>60</v>
      </c>
    </row>
    <row r="111" spans="1:59" x14ac:dyDescent="0.2">
      <c r="A111" s="8">
        <f t="shared" si="57"/>
        <v>70</v>
      </c>
      <c r="B111" s="26">
        <f t="shared" si="59"/>
        <v>1400</v>
      </c>
      <c r="C111" s="26">
        <f t="shared" si="19"/>
        <v>0</v>
      </c>
      <c r="D111" s="26">
        <f t="shared" si="20"/>
        <v>1400</v>
      </c>
      <c r="E111" s="27">
        <f t="shared" si="21"/>
        <v>0</v>
      </c>
      <c r="F111" s="26">
        <f t="shared" si="22"/>
        <v>1400</v>
      </c>
      <c r="G111" s="26">
        <f t="shared" si="23"/>
        <v>72800</v>
      </c>
      <c r="H111" s="26">
        <f t="shared" si="24"/>
        <v>16094</v>
      </c>
      <c r="I111" s="26">
        <f t="shared" si="25"/>
        <v>56706</v>
      </c>
      <c r="J111" s="26">
        <f t="shared" si="26"/>
        <v>1090.5</v>
      </c>
      <c r="K111" s="26">
        <f t="shared" si="27"/>
        <v>1090.5</v>
      </c>
      <c r="L111" s="26">
        <f t="shared" si="28"/>
        <v>0</v>
      </c>
      <c r="M111" s="26">
        <f t="shared" si="29"/>
        <v>14.654910714285734</v>
      </c>
      <c r="N111" s="27">
        <f t="shared" si="30"/>
        <v>96.949999999999989</v>
      </c>
      <c r="O111" s="27">
        <f t="shared" si="31"/>
        <v>0</v>
      </c>
      <c r="P111" s="26">
        <f t="shared" si="32"/>
        <v>1202.1049107142858</v>
      </c>
      <c r="Q111" s="26">
        <f t="shared" si="33"/>
        <v>62509.455357142862</v>
      </c>
      <c r="R111" s="16">
        <f t="shared" si="78"/>
        <v>0.84999999999998865</v>
      </c>
      <c r="S111" s="26">
        <f t="shared" si="35"/>
        <v>77679.45535714287</v>
      </c>
      <c r="T111" s="27">
        <f t="shared" si="36"/>
        <v>60</v>
      </c>
      <c r="U111" s="26">
        <f t="shared" si="60"/>
        <v>1142.1049107142858</v>
      </c>
      <c r="V111" s="16">
        <f t="shared" si="58"/>
        <v>0.84999999999998865</v>
      </c>
      <c r="W111" s="28">
        <f t="shared" si="61"/>
        <v>511.65</v>
      </c>
      <c r="X111" s="29">
        <f t="shared" si="37"/>
        <v>27</v>
      </c>
      <c r="Y111" s="29">
        <f t="shared" si="38"/>
        <v>805</v>
      </c>
      <c r="Z111" s="29">
        <f t="shared" si="39"/>
        <v>511.65</v>
      </c>
      <c r="AA111" s="28">
        <f t="shared" si="40"/>
        <v>0</v>
      </c>
      <c r="AB111" s="28">
        <f t="shared" si="41"/>
        <v>127.91249999999999</v>
      </c>
      <c r="AC111" s="28">
        <f t="shared" si="62"/>
        <v>172.08750000000001</v>
      </c>
      <c r="AD111" s="28">
        <f t="shared" si="42"/>
        <v>129.06562500000001</v>
      </c>
      <c r="AE111" s="13">
        <f t="shared" si="63"/>
        <v>129.06562500000001</v>
      </c>
      <c r="AF111" s="13">
        <f t="shared" si="64"/>
        <v>457.64285714285711</v>
      </c>
      <c r="AG111" s="13">
        <f t="shared" si="43"/>
        <v>14.654910714285734</v>
      </c>
      <c r="AH111" s="28">
        <f t="shared" si="65"/>
        <v>231.81</v>
      </c>
      <c r="AI111" s="13">
        <f t="shared" si="66"/>
        <v>768</v>
      </c>
      <c r="AJ111" s="28">
        <f t="shared" si="67"/>
        <v>207.36</v>
      </c>
      <c r="AK111" s="13">
        <f t="shared" si="44"/>
        <v>24.449999999999989</v>
      </c>
      <c r="AL111" s="47">
        <f t="shared" si="45"/>
        <v>20</v>
      </c>
      <c r="AM111" s="13" t="str">
        <f t="shared" si="46"/>
        <v>N</v>
      </c>
      <c r="AN111" s="13">
        <f t="shared" si="47"/>
        <v>0</v>
      </c>
      <c r="AO111" s="13" t="str">
        <f t="shared" si="48"/>
        <v>Y</v>
      </c>
      <c r="AP111" s="13">
        <f t="shared" si="49"/>
        <v>72.5</v>
      </c>
      <c r="AQ111" s="13">
        <f t="shared" si="50"/>
        <v>0</v>
      </c>
      <c r="AR111" s="13">
        <f t="shared" si="51"/>
        <v>72.5</v>
      </c>
      <c r="AS111" s="9">
        <f t="shared" si="68"/>
        <v>2</v>
      </c>
      <c r="AT111" s="9">
        <f t="shared" si="69"/>
        <v>20</v>
      </c>
      <c r="AU111" s="9">
        <f t="shared" si="70"/>
        <v>0</v>
      </c>
      <c r="AV111" s="13">
        <f t="shared" si="71"/>
        <v>4.53</v>
      </c>
      <c r="AW111" s="13">
        <f t="shared" si="72"/>
        <v>0</v>
      </c>
      <c r="AX111" s="9">
        <f t="shared" si="73"/>
        <v>1</v>
      </c>
      <c r="AY111" s="9">
        <f t="shared" si="74"/>
        <v>0</v>
      </c>
      <c r="AZ111" s="28">
        <f t="shared" si="52"/>
        <v>0</v>
      </c>
      <c r="BA111" s="9">
        <f t="shared" si="75"/>
        <v>1</v>
      </c>
      <c r="BB111" s="9">
        <f t="shared" si="76"/>
        <v>0</v>
      </c>
      <c r="BC111" s="28">
        <f t="shared" si="53"/>
        <v>0</v>
      </c>
      <c r="BD111" s="28">
        <f t="shared" si="54"/>
        <v>0</v>
      </c>
      <c r="BE111" s="13">
        <f t="shared" si="55"/>
        <v>60</v>
      </c>
      <c r="BF111" s="13">
        <f t="shared" si="77"/>
        <v>0</v>
      </c>
      <c r="BG111" s="28">
        <f t="shared" si="56"/>
        <v>60</v>
      </c>
    </row>
    <row r="112" spans="1:59" x14ac:dyDescent="0.2">
      <c r="A112" s="8">
        <f t="shared" si="57"/>
        <v>71</v>
      </c>
      <c r="B112" s="26">
        <f t="shared" si="59"/>
        <v>1420</v>
      </c>
      <c r="C112" s="26">
        <f t="shared" si="19"/>
        <v>0</v>
      </c>
      <c r="D112" s="26">
        <f t="shared" si="20"/>
        <v>1420</v>
      </c>
      <c r="E112" s="27">
        <f t="shared" si="21"/>
        <v>0</v>
      </c>
      <c r="F112" s="26">
        <f t="shared" si="22"/>
        <v>1420</v>
      </c>
      <c r="G112" s="26">
        <f t="shared" si="23"/>
        <v>73840</v>
      </c>
      <c r="H112" s="26">
        <f t="shared" si="24"/>
        <v>16437.2</v>
      </c>
      <c r="I112" s="26">
        <f t="shared" si="25"/>
        <v>57402.8</v>
      </c>
      <c r="J112" s="26">
        <f t="shared" si="26"/>
        <v>1103.9000000000001</v>
      </c>
      <c r="K112" s="26">
        <f t="shared" si="27"/>
        <v>1103.9000000000001</v>
      </c>
      <c r="L112" s="26">
        <f t="shared" si="28"/>
        <v>0</v>
      </c>
      <c r="M112" s="26">
        <f t="shared" si="29"/>
        <v>9.6549107142857338</v>
      </c>
      <c r="N112" s="27">
        <f t="shared" si="30"/>
        <v>91.549999999999983</v>
      </c>
      <c r="O112" s="27">
        <f t="shared" si="31"/>
        <v>0</v>
      </c>
      <c r="P112" s="26">
        <f t="shared" si="32"/>
        <v>1205.1049107142858</v>
      </c>
      <c r="Q112" s="26">
        <f t="shared" si="33"/>
        <v>62665.455357142862</v>
      </c>
      <c r="R112" s="16">
        <f t="shared" si="78"/>
        <v>0.85</v>
      </c>
      <c r="S112" s="26">
        <f t="shared" si="35"/>
        <v>77835.45535714287</v>
      </c>
      <c r="T112" s="27">
        <f t="shared" si="36"/>
        <v>60</v>
      </c>
      <c r="U112" s="26">
        <f t="shared" si="60"/>
        <v>1145.1049107142858</v>
      </c>
      <c r="V112" s="16">
        <f t="shared" si="58"/>
        <v>0.85</v>
      </c>
      <c r="W112" s="28">
        <f t="shared" si="61"/>
        <v>511.65</v>
      </c>
      <c r="X112" s="29">
        <f t="shared" si="37"/>
        <v>27</v>
      </c>
      <c r="Y112" s="29">
        <f t="shared" si="38"/>
        <v>819</v>
      </c>
      <c r="Z112" s="29">
        <f t="shared" si="39"/>
        <v>511.65</v>
      </c>
      <c r="AA112" s="28">
        <f t="shared" si="40"/>
        <v>0</v>
      </c>
      <c r="AB112" s="28">
        <f t="shared" si="41"/>
        <v>127.91249999999999</v>
      </c>
      <c r="AC112" s="28">
        <f t="shared" si="62"/>
        <v>172.08750000000001</v>
      </c>
      <c r="AD112" s="28">
        <f t="shared" si="42"/>
        <v>129.06562500000001</v>
      </c>
      <c r="AE112" s="13">
        <f t="shared" si="63"/>
        <v>129.06562500000001</v>
      </c>
      <c r="AF112" s="13">
        <f t="shared" si="64"/>
        <v>477.64285714285711</v>
      </c>
      <c r="AG112" s="13">
        <f t="shared" si="43"/>
        <v>9.6549107142857338</v>
      </c>
      <c r="AH112" s="28">
        <f t="shared" si="65"/>
        <v>231.81</v>
      </c>
      <c r="AI112" s="13">
        <f t="shared" si="66"/>
        <v>788</v>
      </c>
      <c r="AJ112" s="28">
        <f t="shared" si="67"/>
        <v>212.76000000000002</v>
      </c>
      <c r="AK112" s="13">
        <f t="shared" si="44"/>
        <v>19.049999999999983</v>
      </c>
      <c r="AL112" s="47">
        <f t="shared" si="45"/>
        <v>20</v>
      </c>
      <c r="AM112" s="13" t="str">
        <f t="shared" si="46"/>
        <v>N</v>
      </c>
      <c r="AN112" s="13">
        <f t="shared" si="47"/>
        <v>0</v>
      </c>
      <c r="AO112" s="13" t="str">
        <f t="shared" si="48"/>
        <v>Y</v>
      </c>
      <c r="AP112" s="13">
        <f t="shared" si="49"/>
        <v>72.5</v>
      </c>
      <c r="AQ112" s="13">
        <f t="shared" si="50"/>
        <v>0</v>
      </c>
      <c r="AR112" s="13">
        <f t="shared" si="51"/>
        <v>72.5</v>
      </c>
      <c r="AS112" s="9">
        <f t="shared" si="68"/>
        <v>2</v>
      </c>
      <c r="AT112" s="9">
        <f t="shared" si="69"/>
        <v>20</v>
      </c>
      <c r="AU112" s="9">
        <f t="shared" si="70"/>
        <v>0</v>
      </c>
      <c r="AV112" s="13">
        <f t="shared" si="71"/>
        <v>4.53</v>
      </c>
      <c r="AW112" s="13">
        <f t="shared" si="72"/>
        <v>0</v>
      </c>
      <c r="AX112" s="9">
        <f t="shared" si="73"/>
        <v>1</v>
      </c>
      <c r="AY112" s="9">
        <f t="shared" si="74"/>
        <v>0</v>
      </c>
      <c r="AZ112" s="28">
        <f t="shared" si="52"/>
        <v>0</v>
      </c>
      <c r="BA112" s="9">
        <f t="shared" si="75"/>
        <v>1</v>
      </c>
      <c r="BB112" s="9">
        <f t="shared" si="76"/>
        <v>0</v>
      </c>
      <c r="BC112" s="28">
        <f t="shared" si="53"/>
        <v>0</v>
      </c>
      <c r="BD112" s="28">
        <f t="shared" si="54"/>
        <v>0</v>
      </c>
      <c r="BE112" s="13">
        <f t="shared" si="55"/>
        <v>60</v>
      </c>
      <c r="BF112" s="13">
        <f t="shared" si="77"/>
        <v>0</v>
      </c>
      <c r="BG112" s="28">
        <f t="shared" si="56"/>
        <v>60</v>
      </c>
    </row>
    <row r="113" spans="1:59" x14ac:dyDescent="0.2">
      <c r="A113" s="8">
        <f t="shared" si="57"/>
        <v>72</v>
      </c>
      <c r="B113" s="26">
        <f t="shared" si="59"/>
        <v>1440</v>
      </c>
      <c r="C113" s="26">
        <f t="shared" si="19"/>
        <v>0</v>
      </c>
      <c r="D113" s="26">
        <f t="shared" si="20"/>
        <v>1440</v>
      </c>
      <c r="E113" s="27">
        <f t="shared" si="21"/>
        <v>0</v>
      </c>
      <c r="F113" s="26">
        <f t="shared" si="22"/>
        <v>1440</v>
      </c>
      <c r="G113" s="26">
        <f t="shared" si="23"/>
        <v>74880</v>
      </c>
      <c r="H113" s="26">
        <f t="shared" si="24"/>
        <v>16780.400000000001</v>
      </c>
      <c r="I113" s="26">
        <f t="shared" si="25"/>
        <v>58099.6</v>
      </c>
      <c r="J113" s="26">
        <f t="shared" si="26"/>
        <v>1117.3</v>
      </c>
      <c r="K113" s="26">
        <f t="shared" si="27"/>
        <v>1117.3</v>
      </c>
      <c r="L113" s="26">
        <f t="shared" si="28"/>
        <v>0</v>
      </c>
      <c r="M113" s="26">
        <f t="shared" si="29"/>
        <v>4.6549107142857338</v>
      </c>
      <c r="N113" s="27">
        <f t="shared" si="30"/>
        <v>86.149999999999977</v>
      </c>
      <c r="O113" s="27">
        <f t="shared" si="31"/>
        <v>0</v>
      </c>
      <c r="P113" s="26">
        <f t="shared" si="32"/>
        <v>1208.1049107142858</v>
      </c>
      <c r="Q113" s="26">
        <f t="shared" si="33"/>
        <v>62821.455357142862</v>
      </c>
      <c r="R113" s="16">
        <f t="shared" si="78"/>
        <v>0.85</v>
      </c>
      <c r="S113" s="26">
        <f t="shared" si="35"/>
        <v>77991.45535714287</v>
      </c>
      <c r="T113" s="27">
        <f t="shared" si="36"/>
        <v>60</v>
      </c>
      <c r="U113" s="26">
        <f t="shared" si="60"/>
        <v>1148.1049107142858</v>
      </c>
      <c r="V113" s="16">
        <f t="shared" si="58"/>
        <v>0.85</v>
      </c>
      <c r="W113" s="28">
        <f t="shared" si="61"/>
        <v>511.65</v>
      </c>
      <c r="X113" s="29">
        <f t="shared" si="37"/>
        <v>27</v>
      </c>
      <c r="Y113" s="29">
        <f t="shared" si="38"/>
        <v>833</v>
      </c>
      <c r="Z113" s="29">
        <f t="shared" si="39"/>
        <v>511.65</v>
      </c>
      <c r="AA113" s="28">
        <f t="shared" si="40"/>
        <v>0</v>
      </c>
      <c r="AB113" s="28">
        <f t="shared" si="41"/>
        <v>127.91249999999999</v>
      </c>
      <c r="AC113" s="28">
        <f t="shared" si="62"/>
        <v>172.08750000000001</v>
      </c>
      <c r="AD113" s="28">
        <f t="shared" si="42"/>
        <v>129.06562500000001</v>
      </c>
      <c r="AE113" s="13">
        <f t="shared" si="63"/>
        <v>129.06562500000001</v>
      </c>
      <c r="AF113" s="13">
        <f t="shared" si="64"/>
        <v>497.64285714285711</v>
      </c>
      <c r="AG113" s="13">
        <f t="shared" si="43"/>
        <v>4.6549107142857338</v>
      </c>
      <c r="AH113" s="28">
        <f t="shared" si="65"/>
        <v>231.81</v>
      </c>
      <c r="AI113" s="13">
        <f t="shared" si="66"/>
        <v>808</v>
      </c>
      <c r="AJ113" s="28">
        <f t="shared" si="67"/>
        <v>218.16000000000003</v>
      </c>
      <c r="AK113" s="13">
        <f t="shared" si="44"/>
        <v>13.649999999999977</v>
      </c>
      <c r="AL113" s="47">
        <f t="shared" si="45"/>
        <v>20</v>
      </c>
      <c r="AM113" s="13" t="str">
        <f t="shared" si="46"/>
        <v>N</v>
      </c>
      <c r="AN113" s="13">
        <f t="shared" si="47"/>
        <v>0</v>
      </c>
      <c r="AO113" s="13" t="str">
        <f t="shared" si="48"/>
        <v>Y</v>
      </c>
      <c r="AP113" s="13">
        <f t="shared" si="49"/>
        <v>72.5</v>
      </c>
      <c r="AQ113" s="13">
        <f t="shared" si="50"/>
        <v>0</v>
      </c>
      <c r="AR113" s="13">
        <f t="shared" si="51"/>
        <v>72.5</v>
      </c>
      <c r="AS113" s="9">
        <f t="shared" si="68"/>
        <v>2</v>
      </c>
      <c r="AT113" s="9">
        <f t="shared" si="69"/>
        <v>20</v>
      </c>
      <c r="AU113" s="9">
        <f t="shared" si="70"/>
        <v>0</v>
      </c>
      <c r="AV113" s="13">
        <f t="shared" si="71"/>
        <v>4.53</v>
      </c>
      <c r="AW113" s="13">
        <f t="shared" si="72"/>
        <v>0</v>
      </c>
      <c r="AX113" s="9">
        <f t="shared" si="73"/>
        <v>1</v>
      </c>
      <c r="AY113" s="9">
        <f t="shared" si="74"/>
        <v>0</v>
      </c>
      <c r="AZ113" s="28">
        <f t="shared" si="52"/>
        <v>0</v>
      </c>
      <c r="BA113" s="9">
        <f t="shared" si="75"/>
        <v>1</v>
      </c>
      <c r="BB113" s="9">
        <f t="shared" si="76"/>
        <v>0</v>
      </c>
      <c r="BC113" s="28">
        <f t="shared" si="53"/>
        <v>0</v>
      </c>
      <c r="BD113" s="28">
        <f t="shared" si="54"/>
        <v>0</v>
      </c>
      <c r="BE113" s="13">
        <f t="shared" si="55"/>
        <v>60</v>
      </c>
      <c r="BF113" s="13">
        <f t="shared" si="77"/>
        <v>0</v>
      </c>
      <c r="BG113" s="28">
        <f t="shared" si="56"/>
        <v>60</v>
      </c>
    </row>
    <row r="114" spans="1:59" x14ac:dyDescent="0.2">
      <c r="A114" s="8">
        <f t="shared" si="57"/>
        <v>73</v>
      </c>
      <c r="B114" s="26">
        <f t="shared" si="59"/>
        <v>1460</v>
      </c>
      <c r="C114" s="26">
        <f t="shared" si="19"/>
        <v>0</v>
      </c>
      <c r="D114" s="26">
        <f t="shared" si="20"/>
        <v>1460</v>
      </c>
      <c r="E114" s="27">
        <f t="shared" si="21"/>
        <v>0</v>
      </c>
      <c r="F114" s="26">
        <f t="shared" si="22"/>
        <v>1460</v>
      </c>
      <c r="G114" s="26">
        <f t="shared" si="23"/>
        <v>75920</v>
      </c>
      <c r="H114" s="26">
        <f t="shared" si="24"/>
        <v>17123.599999999999</v>
      </c>
      <c r="I114" s="26">
        <f t="shared" si="25"/>
        <v>58796.4</v>
      </c>
      <c r="J114" s="26">
        <f t="shared" si="26"/>
        <v>1130.7</v>
      </c>
      <c r="K114" s="26">
        <f t="shared" si="27"/>
        <v>1130.7</v>
      </c>
      <c r="L114" s="26">
        <f t="shared" si="28"/>
        <v>0</v>
      </c>
      <c r="M114" s="26">
        <f t="shared" si="29"/>
        <v>0</v>
      </c>
      <c r="N114" s="27">
        <f t="shared" si="30"/>
        <v>80.75</v>
      </c>
      <c r="O114" s="27">
        <f t="shared" si="31"/>
        <v>0</v>
      </c>
      <c r="P114" s="26">
        <f t="shared" si="32"/>
        <v>1211.45</v>
      </c>
      <c r="Q114" s="26">
        <f t="shared" si="33"/>
        <v>62995.4</v>
      </c>
      <c r="R114" s="16">
        <f t="shared" si="78"/>
        <v>0.83274553571428667</v>
      </c>
      <c r="S114" s="26">
        <f t="shared" si="35"/>
        <v>78165.399999999994</v>
      </c>
      <c r="T114" s="27">
        <f t="shared" si="36"/>
        <v>60</v>
      </c>
      <c r="U114" s="26">
        <f t="shared" si="60"/>
        <v>1151.45</v>
      </c>
      <c r="V114" s="16">
        <f t="shared" si="58"/>
        <v>0.83274553571428667</v>
      </c>
      <c r="W114" s="28">
        <f t="shared" si="61"/>
        <v>511.65</v>
      </c>
      <c r="X114" s="29">
        <f t="shared" si="37"/>
        <v>27</v>
      </c>
      <c r="Y114" s="29">
        <f t="shared" si="38"/>
        <v>847</v>
      </c>
      <c r="Z114" s="29">
        <f t="shared" si="39"/>
        <v>511.65</v>
      </c>
      <c r="AA114" s="28">
        <f t="shared" si="40"/>
        <v>0</v>
      </c>
      <c r="AB114" s="28">
        <f t="shared" si="41"/>
        <v>127.91249999999999</v>
      </c>
      <c r="AC114" s="28">
        <f t="shared" si="62"/>
        <v>172.08750000000001</v>
      </c>
      <c r="AD114" s="28">
        <f t="shared" si="42"/>
        <v>129.06562500000001</v>
      </c>
      <c r="AE114" s="13">
        <f t="shared" si="63"/>
        <v>129.06562500000001</v>
      </c>
      <c r="AF114" s="13">
        <f t="shared" si="64"/>
        <v>517.64285714285711</v>
      </c>
      <c r="AG114" s="13">
        <f t="shared" si="43"/>
        <v>0</v>
      </c>
      <c r="AH114" s="28">
        <f t="shared" si="65"/>
        <v>231.81</v>
      </c>
      <c r="AI114" s="13">
        <f t="shared" si="66"/>
        <v>828</v>
      </c>
      <c r="AJ114" s="28">
        <f t="shared" si="67"/>
        <v>223.56</v>
      </c>
      <c r="AK114" s="13">
        <f t="shared" si="44"/>
        <v>8.25</v>
      </c>
      <c r="AL114" s="47">
        <f t="shared" si="45"/>
        <v>20</v>
      </c>
      <c r="AM114" s="13" t="str">
        <f t="shared" si="46"/>
        <v>N</v>
      </c>
      <c r="AN114" s="13">
        <f t="shared" si="47"/>
        <v>0</v>
      </c>
      <c r="AO114" s="13" t="str">
        <f t="shared" si="48"/>
        <v>Y</v>
      </c>
      <c r="AP114" s="13">
        <f t="shared" si="49"/>
        <v>72.5</v>
      </c>
      <c r="AQ114" s="13">
        <f t="shared" si="50"/>
        <v>0</v>
      </c>
      <c r="AR114" s="13">
        <f t="shared" si="51"/>
        <v>72.5</v>
      </c>
      <c r="AS114" s="9">
        <f t="shared" si="68"/>
        <v>2</v>
      </c>
      <c r="AT114" s="9">
        <f t="shared" si="69"/>
        <v>20</v>
      </c>
      <c r="AU114" s="9">
        <f t="shared" si="70"/>
        <v>0</v>
      </c>
      <c r="AV114" s="13">
        <f t="shared" si="71"/>
        <v>3.17</v>
      </c>
      <c r="AW114" s="13">
        <f t="shared" si="72"/>
        <v>0</v>
      </c>
      <c r="AX114" s="9">
        <f t="shared" si="73"/>
        <v>1</v>
      </c>
      <c r="AY114" s="9">
        <f t="shared" si="74"/>
        <v>0</v>
      </c>
      <c r="AZ114" s="28">
        <f t="shared" si="52"/>
        <v>0</v>
      </c>
      <c r="BA114" s="9">
        <f t="shared" si="75"/>
        <v>1</v>
      </c>
      <c r="BB114" s="9">
        <f t="shared" si="76"/>
        <v>0</v>
      </c>
      <c r="BC114" s="28">
        <f t="shared" si="53"/>
        <v>0</v>
      </c>
      <c r="BD114" s="28">
        <f t="shared" si="54"/>
        <v>0</v>
      </c>
      <c r="BE114" s="13">
        <f t="shared" si="55"/>
        <v>60</v>
      </c>
      <c r="BF114" s="13">
        <f t="shared" si="77"/>
        <v>0</v>
      </c>
      <c r="BG114" s="28">
        <f t="shared" si="56"/>
        <v>60</v>
      </c>
    </row>
    <row r="115" spans="1:59" x14ac:dyDescent="0.2">
      <c r="A115" s="8">
        <f t="shared" si="57"/>
        <v>74</v>
      </c>
      <c r="B115" s="26">
        <f t="shared" si="59"/>
        <v>1480</v>
      </c>
      <c r="C115" s="26">
        <f t="shared" si="19"/>
        <v>0</v>
      </c>
      <c r="D115" s="26">
        <f t="shared" si="20"/>
        <v>1480</v>
      </c>
      <c r="E115" s="27">
        <f t="shared" si="21"/>
        <v>0</v>
      </c>
      <c r="F115" s="26">
        <f t="shared" si="22"/>
        <v>1480</v>
      </c>
      <c r="G115" s="26">
        <f t="shared" si="23"/>
        <v>76960</v>
      </c>
      <c r="H115" s="26">
        <f t="shared" si="24"/>
        <v>17466.8</v>
      </c>
      <c r="I115" s="26">
        <f t="shared" si="25"/>
        <v>59493.2</v>
      </c>
      <c r="J115" s="26">
        <f t="shared" si="26"/>
        <v>1144.0999999999999</v>
      </c>
      <c r="K115" s="26">
        <f t="shared" si="27"/>
        <v>1144.0999999999999</v>
      </c>
      <c r="L115" s="26">
        <f t="shared" si="28"/>
        <v>0</v>
      </c>
      <c r="M115" s="26">
        <f t="shared" si="29"/>
        <v>0</v>
      </c>
      <c r="N115" s="27">
        <f t="shared" si="30"/>
        <v>75.349999999999994</v>
      </c>
      <c r="O115" s="27">
        <f t="shared" si="31"/>
        <v>0</v>
      </c>
      <c r="P115" s="26">
        <f t="shared" si="32"/>
        <v>1219.4499999999998</v>
      </c>
      <c r="Q115" s="26">
        <f t="shared" si="33"/>
        <v>63411.399999999994</v>
      </c>
      <c r="R115" s="16">
        <f t="shared" si="78"/>
        <v>0.60000000000001141</v>
      </c>
      <c r="S115" s="26">
        <f t="shared" si="35"/>
        <v>78581.399999999994</v>
      </c>
      <c r="T115" s="27">
        <f t="shared" si="36"/>
        <v>60</v>
      </c>
      <c r="U115" s="26">
        <f t="shared" si="60"/>
        <v>1159.4499999999998</v>
      </c>
      <c r="V115" s="16">
        <f t="shared" si="58"/>
        <v>0.60000000000001141</v>
      </c>
      <c r="W115" s="28">
        <f t="shared" si="61"/>
        <v>511.65</v>
      </c>
      <c r="X115" s="29">
        <f t="shared" si="37"/>
        <v>27</v>
      </c>
      <c r="Y115" s="29">
        <f t="shared" si="38"/>
        <v>861</v>
      </c>
      <c r="Z115" s="29">
        <f t="shared" si="39"/>
        <v>511.65</v>
      </c>
      <c r="AA115" s="28">
        <f t="shared" si="40"/>
        <v>0</v>
      </c>
      <c r="AB115" s="28">
        <f t="shared" si="41"/>
        <v>127.91249999999999</v>
      </c>
      <c r="AC115" s="28">
        <f t="shared" si="62"/>
        <v>172.08750000000001</v>
      </c>
      <c r="AD115" s="28">
        <f t="shared" si="42"/>
        <v>129.06562500000001</v>
      </c>
      <c r="AE115" s="13">
        <f t="shared" si="63"/>
        <v>129.06562500000001</v>
      </c>
      <c r="AF115" s="13">
        <f t="shared" si="64"/>
        <v>537.64285714285711</v>
      </c>
      <c r="AG115" s="13">
        <f t="shared" si="43"/>
        <v>0</v>
      </c>
      <c r="AH115" s="28">
        <f t="shared" si="65"/>
        <v>231.81</v>
      </c>
      <c r="AI115" s="13">
        <f t="shared" si="66"/>
        <v>848</v>
      </c>
      <c r="AJ115" s="28">
        <f t="shared" si="67"/>
        <v>228.96</v>
      </c>
      <c r="AK115" s="13">
        <f t="shared" si="44"/>
        <v>2.8499999999999943</v>
      </c>
      <c r="AL115" s="47">
        <f t="shared" si="45"/>
        <v>20</v>
      </c>
      <c r="AM115" s="13" t="str">
        <f t="shared" si="46"/>
        <v>N</v>
      </c>
      <c r="AN115" s="13">
        <f t="shared" si="47"/>
        <v>0</v>
      </c>
      <c r="AO115" s="13" t="str">
        <f t="shared" si="48"/>
        <v>Y</v>
      </c>
      <c r="AP115" s="13">
        <f t="shared" si="49"/>
        <v>72.5</v>
      </c>
      <c r="AQ115" s="13">
        <f t="shared" si="50"/>
        <v>0</v>
      </c>
      <c r="AR115" s="13">
        <f t="shared" si="51"/>
        <v>72.5</v>
      </c>
      <c r="AS115" s="9">
        <f t="shared" si="68"/>
        <v>2</v>
      </c>
      <c r="AT115" s="9">
        <f t="shared" si="69"/>
        <v>20</v>
      </c>
      <c r="AU115" s="9">
        <f t="shared" si="70"/>
        <v>0</v>
      </c>
      <c r="AV115" s="13">
        <f t="shared" si="71"/>
        <v>3.17</v>
      </c>
      <c r="AW115" s="13">
        <f t="shared" si="72"/>
        <v>0</v>
      </c>
      <c r="AX115" s="9">
        <f t="shared" si="73"/>
        <v>1</v>
      </c>
      <c r="AY115" s="9">
        <f t="shared" si="74"/>
        <v>0</v>
      </c>
      <c r="AZ115" s="28">
        <f t="shared" si="52"/>
        <v>0</v>
      </c>
      <c r="BA115" s="9">
        <f t="shared" si="75"/>
        <v>1</v>
      </c>
      <c r="BB115" s="9">
        <f t="shared" si="76"/>
        <v>0</v>
      </c>
      <c r="BC115" s="28">
        <f t="shared" si="53"/>
        <v>0</v>
      </c>
      <c r="BD115" s="28">
        <f t="shared" si="54"/>
        <v>0</v>
      </c>
      <c r="BE115" s="13">
        <f t="shared" si="55"/>
        <v>60</v>
      </c>
      <c r="BF115" s="13">
        <f t="shared" si="77"/>
        <v>0</v>
      </c>
      <c r="BG115" s="28">
        <f t="shared" si="56"/>
        <v>60</v>
      </c>
    </row>
    <row r="116" spans="1:59" x14ac:dyDescent="0.2">
      <c r="A116" s="8">
        <f t="shared" si="57"/>
        <v>75</v>
      </c>
      <c r="B116" s="26">
        <f t="shared" si="59"/>
        <v>1500</v>
      </c>
      <c r="C116" s="26">
        <f t="shared" si="19"/>
        <v>0</v>
      </c>
      <c r="D116" s="26">
        <f t="shared" si="20"/>
        <v>1500</v>
      </c>
      <c r="E116" s="27">
        <f t="shared" si="21"/>
        <v>0</v>
      </c>
      <c r="F116" s="26">
        <f t="shared" si="22"/>
        <v>1500</v>
      </c>
      <c r="G116" s="26">
        <f t="shared" si="23"/>
        <v>78000</v>
      </c>
      <c r="H116" s="26">
        <f t="shared" si="24"/>
        <v>17810</v>
      </c>
      <c r="I116" s="26">
        <f t="shared" si="25"/>
        <v>60190</v>
      </c>
      <c r="J116" s="26">
        <f t="shared" si="26"/>
        <v>1157.5</v>
      </c>
      <c r="K116" s="26">
        <f t="shared" si="27"/>
        <v>1157.5</v>
      </c>
      <c r="L116" s="26">
        <f t="shared" si="28"/>
        <v>0</v>
      </c>
      <c r="M116" s="26">
        <f t="shared" si="29"/>
        <v>0</v>
      </c>
      <c r="N116" s="27">
        <f t="shared" si="30"/>
        <v>69.950000000000031</v>
      </c>
      <c r="O116" s="27">
        <f t="shared" si="31"/>
        <v>0</v>
      </c>
      <c r="P116" s="26">
        <f t="shared" si="32"/>
        <v>1227.45</v>
      </c>
      <c r="Q116" s="26">
        <f t="shared" si="33"/>
        <v>63827.4</v>
      </c>
      <c r="R116" s="16">
        <f t="shared" si="78"/>
        <v>0.59999999999998865</v>
      </c>
      <c r="S116" s="26">
        <f t="shared" si="35"/>
        <v>78997.399999999994</v>
      </c>
      <c r="T116" s="27">
        <f t="shared" si="36"/>
        <v>60</v>
      </c>
      <c r="U116" s="26">
        <f t="shared" si="60"/>
        <v>1167.45</v>
      </c>
      <c r="V116" s="16">
        <f t="shared" si="58"/>
        <v>0.59999999999998865</v>
      </c>
      <c r="W116" s="28">
        <f t="shared" si="61"/>
        <v>511.65</v>
      </c>
      <c r="X116" s="29">
        <f t="shared" si="37"/>
        <v>27</v>
      </c>
      <c r="Y116" s="29">
        <f t="shared" si="38"/>
        <v>875</v>
      </c>
      <c r="Z116" s="29">
        <f t="shared" si="39"/>
        <v>511.65</v>
      </c>
      <c r="AA116" s="28">
        <f t="shared" si="40"/>
        <v>0</v>
      </c>
      <c r="AB116" s="28">
        <f t="shared" si="41"/>
        <v>127.91249999999999</v>
      </c>
      <c r="AC116" s="28">
        <f t="shared" si="62"/>
        <v>172.08750000000001</v>
      </c>
      <c r="AD116" s="28">
        <f t="shared" si="42"/>
        <v>129.06562500000001</v>
      </c>
      <c r="AE116" s="13">
        <f t="shared" si="63"/>
        <v>129.06562500000001</v>
      </c>
      <c r="AF116" s="13">
        <f t="shared" si="64"/>
        <v>557.64285714285711</v>
      </c>
      <c r="AG116" s="13">
        <f t="shared" si="43"/>
        <v>0</v>
      </c>
      <c r="AH116" s="28">
        <f t="shared" si="65"/>
        <v>231.81</v>
      </c>
      <c r="AI116" s="13">
        <f t="shared" si="66"/>
        <v>868</v>
      </c>
      <c r="AJ116" s="28">
        <f t="shared" si="67"/>
        <v>234.36</v>
      </c>
      <c r="AK116" s="13">
        <f t="shared" si="44"/>
        <v>0</v>
      </c>
      <c r="AL116" s="47">
        <f t="shared" si="45"/>
        <v>20</v>
      </c>
      <c r="AM116" s="13" t="str">
        <f t="shared" si="46"/>
        <v>N</v>
      </c>
      <c r="AN116" s="13">
        <f t="shared" si="47"/>
        <v>0</v>
      </c>
      <c r="AO116" s="13" t="str">
        <f t="shared" si="48"/>
        <v>Y</v>
      </c>
      <c r="AP116" s="13">
        <f t="shared" si="49"/>
        <v>72.5</v>
      </c>
      <c r="AQ116" s="13">
        <f t="shared" si="50"/>
        <v>2.5499999999999727</v>
      </c>
      <c r="AR116" s="13">
        <f t="shared" si="51"/>
        <v>69.950000000000031</v>
      </c>
      <c r="AS116" s="9">
        <f t="shared" si="68"/>
        <v>2</v>
      </c>
      <c r="AT116" s="9">
        <f t="shared" si="69"/>
        <v>20</v>
      </c>
      <c r="AU116" s="9">
        <f t="shared" si="70"/>
        <v>0</v>
      </c>
      <c r="AV116" s="13">
        <f t="shared" si="71"/>
        <v>3.17</v>
      </c>
      <c r="AW116" s="13">
        <f t="shared" si="72"/>
        <v>0</v>
      </c>
      <c r="AX116" s="9">
        <f t="shared" si="73"/>
        <v>1</v>
      </c>
      <c r="AY116" s="9">
        <f t="shared" si="74"/>
        <v>0</v>
      </c>
      <c r="AZ116" s="28">
        <f t="shared" si="52"/>
        <v>0</v>
      </c>
      <c r="BA116" s="9">
        <f t="shared" si="75"/>
        <v>1</v>
      </c>
      <c r="BB116" s="9">
        <f t="shared" si="76"/>
        <v>0</v>
      </c>
      <c r="BC116" s="28">
        <f t="shared" si="53"/>
        <v>0</v>
      </c>
      <c r="BD116" s="28">
        <f t="shared" si="54"/>
        <v>0</v>
      </c>
      <c r="BE116" s="13">
        <f t="shared" si="55"/>
        <v>60</v>
      </c>
      <c r="BF116" s="13">
        <f t="shared" si="77"/>
        <v>0</v>
      </c>
      <c r="BG116" s="28">
        <f t="shared" si="56"/>
        <v>60</v>
      </c>
    </row>
    <row r="117" spans="1:59" x14ac:dyDescent="0.2">
      <c r="A117" s="8">
        <f t="shared" si="57"/>
        <v>76</v>
      </c>
      <c r="B117" s="26">
        <f t="shared" si="59"/>
        <v>1520</v>
      </c>
      <c r="C117" s="26">
        <f t="shared" si="19"/>
        <v>0</v>
      </c>
      <c r="D117" s="26">
        <f t="shared" si="20"/>
        <v>1520</v>
      </c>
      <c r="E117" s="27">
        <f t="shared" si="21"/>
        <v>0</v>
      </c>
      <c r="F117" s="26">
        <f t="shared" si="22"/>
        <v>1520</v>
      </c>
      <c r="G117" s="26">
        <f t="shared" si="23"/>
        <v>79040</v>
      </c>
      <c r="H117" s="26">
        <f t="shared" si="24"/>
        <v>18153.2</v>
      </c>
      <c r="I117" s="26">
        <f t="shared" si="25"/>
        <v>60886.8</v>
      </c>
      <c r="J117" s="26">
        <f t="shared" si="26"/>
        <v>1170.9000000000001</v>
      </c>
      <c r="K117" s="26">
        <f t="shared" si="27"/>
        <v>1170.9000000000001</v>
      </c>
      <c r="L117" s="26">
        <f t="shared" si="28"/>
        <v>0</v>
      </c>
      <c r="M117" s="26">
        <f t="shared" si="29"/>
        <v>0</v>
      </c>
      <c r="N117" s="27">
        <f t="shared" si="30"/>
        <v>64.550000000000026</v>
      </c>
      <c r="O117" s="27">
        <f t="shared" si="31"/>
        <v>0</v>
      </c>
      <c r="P117" s="26">
        <f t="shared" si="32"/>
        <v>1235.45</v>
      </c>
      <c r="Q117" s="26">
        <f t="shared" si="33"/>
        <v>64243.4</v>
      </c>
      <c r="R117" s="16">
        <f t="shared" si="78"/>
        <v>0.6</v>
      </c>
      <c r="S117" s="26">
        <f t="shared" si="35"/>
        <v>79413.399999999994</v>
      </c>
      <c r="T117" s="27">
        <f t="shared" si="36"/>
        <v>60</v>
      </c>
      <c r="U117" s="26">
        <f t="shared" si="60"/>
        <v>1175.45</v>
      </c>
      <c r="V117" s="16">
        <f t="shared" si="58"/>
        <v>0.6</v>
      </c>
      <c r="W117" s="28">
        <f t="shared" si="61"/>
        <v>511.65</v>
      </c>
      <c r="X117" s="29">
        <f t="shared" si="37"/>
        <v>27</v>
      </c>
      <c r="Y117" s="29">
        <f t="shared" si="38"/>
        <v>889</v>
      </c>
      <c r="Z117" s="29">
        <f t="shared" si="39"/>
        <v>511.65</v>
      </c>
      <c r="AA117" s="28">
        <f t="shared" si="40"/>
        <v>0</v>
      </c>
      <c r="AB117" s="28">
        <f t="shared" si="41"/>
        <v>127.91249999999999</v>
      </c>
      <c r="AC117" s="28">
        <f t="shared" si="62"/>
        <v>172.08750000000001</v>
      </c>
      <c r="AD117" s="28">
        <f t="shared" si="42"/>
        <v>129.06562500000001</v>
      </c>
      <c r="AE117" s="13">
        <f t="shared" si="63"/>
        <v>129.06562500000001</v>
      </c>
      <c r="AF117" s="13">
        <f t="shared" si="64"/>
        <v>577.64285714285711</v>
      </c>
      <c r="AG117" s="13">
        <f t="shared" si="43"/>
        <v>0</v>
      </c>
      <c r="AH117" s="28">
        <f t="shared" si="65"/>
        <v>231.81</v>
      </c>
      <c r="AI117" s="13">
        <f t="shared" si="66"/>
        <v>888</v>
      </c>
      <c r="AJ117" s="28">
        <f t="shared" si="67"/>
        <v>239.76000000000002</v>
      </c>
      <c r="AK117" s="13">
        <f t="shared" si="44"/>
        <v>0</v>
      </c>
      <c r="AL117" s="47">
        <f t="shared" si="45"/>
        <v>20</v>
      </c>
      <c r="AM117" s="13" t="str">
        <f t="shared" si="46"/>
        <v>N</v>
      </c>
      <c r="AN117" s="13">
        <f t="shared" si="47"/>
        <v>0</v>
      </c>
      <c r="AO117" s="13" t="str">
        <f t="shared" si="48"/>
        <v>Y</v>
      </c>
      <c r="AP117" s="13">
        <f t="shared" si="49"/>
        <v>72.5</v>
      </c>
      <c r="AQ117" s="13">
        <f t="shared" si="50"/>
        <v>7.9499999999999735</v>
      </c>
      <c r="AR117" s="13">
        <f t="shared" si="51"/>
        <v>64.550000000000026</v>
      </c>
      <c r="AS117" s="9">
        <f t="shared" si="68"/>
        <v>2</v>
      </c>
      <c r="AT117" s="9">
        <f t="shared" si="69"/>
        <v>20</v>
      </c>
      <c r="AU117" s="9">
        <f t="shared" si="70"/>
        <v>0</v>
      </c>
      <c r="AV117" s="13">
        <f t="shared" si="71"/>
        <v>3.17</v>
      </c>
      <c r="AW117" s="13">
        <f t="shared" si="72"/>
        <v>0</v>
      </c>
      <c r="AX117" s="9">
        <f t="shared" si="73"/>
        <v>1</v>
      </c>
      <c r="AY117" s="9">
        <f t="shared" si="74"/>
        <v>0</v>
      </c>
      <c r="AZ117" s="28">
        <f t="shared" si="52"/>
        <v>0</v>
      </c>
      <c r="BA117" s="9">
        <f t="shared" si="75"/>
        <v>1</v>
      </c>
      <c r="BB117" s="9">
        <f t="shared" si="76"/>
        <v>0</v>
      </c>
      <c r="BC117" s="28">
        <f t="shared" si="53"/>
        <v>0</v>
      </c>
      <c r="BD117" s="28">
        <f t="shared" si="54"/>
        <v>0</v>
      </c>
      <c r="BE117" s="13">
        <f t="shared" si="55"/>
        <v>60</v>
      </c>
      <c r="BF117" s="13">
        <f t="shared" si="77"/>
        <v>0</v>
      </c>
      <c r="BG117" s="28">
        <f t="shared" si="56"/>
        <v>60</v>
      </c>
    </row>
    <row r="118" spans="1:59" x14ac:dyDescent="0.2">
      <c r="A118" s="8">
        <f t="shared" si="57"/>
        <v>77</v>
      </c>
      <c r="B118" s="26">
        <f t="shared" si="59"/>
        <v>1540</v>
      </c>
      <c r="C118" s="26">
        <f t="shared" si="19"/>
        <v>0</v>
      </c>
      <c r="D118" s="26">
        <f t="shared" si="20"/>
        <v>1540</v>
      </c>
      <c r="E118" s="27">
        <f t="shared" si="21"/>
        <v>0</v>
      </c>
      <c r="F118" s="26">
        <f t="shared" si="22"/>
        <v>1540</v>
      </c>
      <c r="G118" s="26">
        <f t="shared" si="23"/>
        <v>80080</v>
      </c>
      <c r="H118" s="26">
        <f t="shared" si="24"/>
        <v>18496.400000000001</v>
      </c>
      <c r="I118" s="26">
        <f t="shared" si="25"/>
        <v>61583.6</v>
      </c>
      <c r="J118" s="26">
        <f t="shared" si="26"/>
        <v>1184.3</v>
      </c>
      <c r="K118" s="26">
        <f t="shared" si="27"/>
        <v>1184.3</v>
      </c>
      <c r="L118" s="26">
        <f t="shared" si="28"/>
        <v>0</v>
      </c>
      <c r="M118" s="26">
        <f t="shared" si="29"/>
        <v>0</v>
      </c>
      <c r="N118" s="27">
        <f t="shared" si="30"/>
        <v>59.150000000000027</v>
      </c>
      <c r="O118" s="27">
        <f t="shared" si="31"/>
        <v>0</v>
      </c>
      <c r="P118" s="26">
        <f t="shared" si="32"/>
        <v>1243.45</v>
      </c>
      <c r="Q118" s="26">
        <f t="shared" si="33"/>
        <v>64659.4</v>
      </c>
      <c r="R118" s="16">
        <f t="shared" si="78"/>
        <v>0.6</v>
      </c>
      <c r="S118" s="26">
        <f t="shared" si="35"/>
        <v>79829.399999999994</v>
      </c>
      <c r="T118" s="27">
        <f t="shared" si="36"/>
        <v>60</v>
      </c>
      <c r="U118" s="26">
        <f t="shared" si="60"/>
        <v>1183.45</v>
      </c>
      <c r="V118" s="16">
        <f t="shared" si="58"/>
        <v>0.6</v>
      </c>
      <c r="W118" s="28">
        <f t="shared" si="61"/>
        <v>511.65</v>
      </c>
      <c r="X118" s="29">
        <f t="shared" si="37"/>
        <v>27</v>
      </c>
      <c r="Y118" s="29">
        <f t="shared" si="38"/>
        <v>902.99999999999989</v>
      </c>
      <c r="Z118" s="29">
        <f t="shared" si="39"/>
        <v>511.65</v>
      </c>
      <c r="AA118" s="28">
        <f t="shared" si="40"/>
        <v>0</v>
      </c>
      <c r="AB118" s="28">
        <f t="shared" si="41"/>
        <v>127.91249999999999</v>
      </c>
      <c r="AC118" s="28">
        <f t="shared" si="62"/>
        <v>172.08750000000001</v>
      </c>
      <c r="AD118" s="28">
        <f t="shared" si="42"/>
        <v>129.06562500000001</v>
      </c>
      <c r="AE118" s="13">
        <f t="shared" si="63"/>
        <v>129.06562500000001</v>
      </c>
      <c r="AF118" s="13">
        <f t="shared" si="64"/>
        <v>597.64285714285711</v>
      </c>
      <c r="AG118" s="13">
        <f t="shared" si="43"/>
        <v>0</v>
      </c>
      <c r="AH118" s="28">
        <f t="shared" si="65"/>
        <v>231.81</v>
      </c>
      <c r="AI118" s="13">
        <f t="shared" si="66"/>
        <v>908</v>
      </c>
      <c r="AJ118" s="28">
        <f t="shared" si="67"/>
        <v>245.16000000000003</v>
      </c>
      <c r="AK118" s="13">
        <f t="shared" si="44"/>
        <v>0</v>
      </c>
      <c r="AL118" s="47">
        <f t="shared" si="45"/>
        <v>20</v>
      </c>
      <c r="AM118" s="13" t="str">
        <f t="shared" si="46"/>
        <v>N</v>
      </c>
      <c r="AN118" s="13">
        <f t="shared" si="47"/>
        <v>0</v>
      </c>
      <c r="AO118" s="13" t="str">
        <f t="shared" si="48"/>
        <v>Y</v>
      </c>
      <c r="AP118" s="13">
        <f t="shared" si="49"/>
        <v>72.5</v>
      </c>
      <c r="AQ118" s="13">
        <f t="shared" si="50"/>
        <v>13.349999999999973</v>
      </c>
      <c r="AR118" s="13">
        <f t="shared" si="51"/>
        <v>59.150000000000027</v>
      </c>
      <c r="AS118" s="9">
        <f t="shared" si="68"/>
        <v>2</v>
      </c>
      <c r="AT118" s="9">
        <f t="shared" si="69"/>
        <v>20</v>
      </c>
      <c r="AU118" s="9">
        <f t="shared" si="70"/>
        <v>0</v>
      </c>
      <c r="AV118" s="13">
        <f t="shared" si="71"/>
        <v>3.17</v>
      </c>
      <c r="AW118" s="13">
        <f t="shared" si="72"/>
        <v>0</v>
      </c>
      <c r="AX118" s="9">
        <f t="shared" si="73"/>
        <v>1</v>
      </c>
      <c r="AY118" s="9">
        <f t="shared" si="74"/>
        <v>0</v>
      </c>
      <c r="AZ118" s="28">
        <f t="shared" si="52"/>
        <v>0</v>
      </c>
      <c r="BA118" s="9">
        <f t="shared" si="75"/>
        <v>1</v>
      </c>
      <c r="BB118" s="9">
        <f t="shared" si="76"/>
        <v>0</v>
      </c>
      <c r="BC118" s="28">
        <f t="shared" si="53"/>
        <v>0</v>
      </c>
      <c r="BD118" s="28">
        <f t="shared" si="54"/>
        <v>0</v>
      </c>
      <c r="BE118" s="13">
        <f t="shared" si="55"/>
        <v>60</v>
      </c>
      <c r="BF118" s="13">
        <f t="shared" si="77"/>
        <v>0</v>
      </c>
      <c r="BG118" s="28">
        <f t="shared" si="56"/>
        <v>60</v>
      </c>
    </row>
    <row r="119" spans="1:59" x14ac:dyDescent="0.2">
      <c r="A119" s="8">
        <f t="shared" si="57"/>
        <v>78</v>
      </c>
      <c r="B119" s="26">
        <f t="shared" si="59"/>
        <v>1560</v>
      </c>
      <c r="C119" s="26">
        <f t="shared" si="19"/>
        <v>0</v>
      </c>
      <c r="D119" s="26">
        <f t="shared" si="20"/>
        <v>1560</v>
      </c>
      <c r="E119" s="27">
        <f t="shared" si="21"/>
        <v>0</v>
      </c>
      <c r="F119" s="26">
        <f t="shared" si="22"/>
        <v>1560</v>
      </c>
      <c r="G119" s="26">
        <f t="shared" si="23"/>
        <v>81120</v>
      </c>
      <c r="H119" s="26">
        <f t="shared" si="24"/>
        <v>18839.599999999999</v>
      </c>
      <c r="I119" s="26">
        <f t="shared" si="25"/>
        <v>62280.4</v>
      </c>
      <c r="J119" s="26">
        <f t="shared" si="26"/>
        <v>1197.7</v>
      </c>
      <c r="K119" s="26">
        <f t="shared" si="27"/>
        <v>1197.7</v>
      </c>
      <c r="L119" s="26">
        <f t="shared" si="28"/>
        <v>0</v>
      </c>
      <c r="M119" s="26">
        <f t="shared" si="29"/>
        <v>0</v>
      </c>
      <c r="N119" s="27">
        <f t="shared" si="30"/>
        <v>53.750000000000028</v>
      </c>
      <c r="O119" s="27">
        <f t="shared" si="31"/>
        <v>0</v>
      </c>
      <c r="P119" s="26">
        <f t="shared" si="32"/>
        <v>1251.45</v>
      </c>
      <c r="Q119" s="26">
        <f t="shared" si="33"/>
        <v>65075.4</v>
      </c>
      <c r="R119" s="16">
        <f t="shared" si="78"/>
        <v>0.6</v>
      </c>
      <c r="S119" s="26">
        <f t="shared" si="35"/>
        <v>80245.399999999994</v>
      </c>
      <c r="T119" s="27">
        <f t="shared" si="36"/>
        <v>60</v>
      </c>
      <c r="U119" s="26">
        <f t="shared" si="60"/>
        <v>1191.45</v>
      </c>
      <c r="V119" s="16">
        <f t="shared" si="58"/>
        <v>0.6</v>
      </c>
      <c r="W119" s="28">
        <f t="shared" si="61"/>
        <v>511.65</v>
      </c>
      <c r="X119" s="29">
        <f t="shared" si="37"/>
        <v>27</v>
      </c>
      <c r="Y119" s="29">
        <f t="shared" si="38"/>
        <v>916.99999999999989</v>
      </c>
      <c r="Z119" s="29">
        <f t="shared" si="39"/>
        <v>511.65</v>
      </c>
      <c r="AA119" s="28">
        <f t="shared" si="40"/>
        <v>0</v>
      </c>
      <c r="AB119" s="28">
        <f t="shared" si="41"/>
        <v>127.91249999999999</v>
      </c>
      <c r="AC119" s="28">
        <f t="shared" si="62"/>
        <v>172.08750000000001</v>
      </c>
      <c r="AD119" s="28">
        <f t="shared" si="42"/>
        <v>129.06562500000001</v>
      </c>
      <c r="AE119" s="13">
        <f t="shared" si="63"/>
        <v>129.06562500000001</v>
      </c>
      <c r="AF119" s="13">
        <f t="shared" si="64"/>
        <v>617.64285714285711</v>
      </c>
      <c r="AG119" s="13">
        <f t="shared" si="43"/>
        <v>0</v>
      </c>
      <c r="AH119" s="28">
        <f t="shared" si="65"/>
        <v>231.81</v>
      </c>
      <c r="AI119" s="13">
        <f t="shared" si="66"/>
        <v>928</v>
      </c>
      <c r="AJ119" s="28">
        <f t="shared" si="67"/>
        <v>250.56</v>
      </c>
      <c r="AK119" s="13">
        <f t="shared" si="44"/>
        <v>0</v>
      </c>
      <c r="AL119" s="47">
        <f t="shared" si="45"/>
        <v>20</v>
      </c>
      <c r="AM119" s="13" t="str">
        <f t="shared" si="46"/>
        <v>N</v>
      </c>
      <c r="AN119" s="13">
        <f t="shared" si="47"/>
        <v>0</v>
      </c>
      <c r="AO119" s="13" t="str">
        <f t="shared" si="48"/>
        <v>Y</v>
      </c>
      <c r="AP119" s="13">
        <f t="shared" si="49"/>
        <v>72.5</v>
      </c>
      <c r="AQ119" s="13">
        <f t="shared" si="50"/>
        <v>18.749999999999975</v>
      </c>
      <c r="AR119" s="13">
        <f t="shared" si="51"/>
        <v>53.750000000000028</v>
      </c>
      <c r="AS119" s="9">
        <f t="shared" si="68"/>
        <v>2</v>
      </c>
      <c r="AT119" s="9">
        <f t="shared" si="69"/>
        <v>20</v>
      </c>
      <c r="AU119" s="9">
        <f t="shared" si="70"/>
        <v>0</v>
      </c>
      <c r="AV119" s="13">
        <f t="shared" si="71"/>
        <v>0</v>
      </c>
      <c r="AW119" s="13">
        <f t="shared" si="72"/>
        <v>0</v>
      </c>
      <c r="AX119" s="9">
        <f t="shared" si="73"/>
        <v>1</v>
      </c>
      <c r="AY119" s="9">
        <f t="shared" si="74"/>
        <v>0</v>
      </c>
      <c r="AZ119" s="28">
        <f t="shared" si="52"/>
        <v>0</v>
      </c>
      <c r="BA119" s="9">
        <f t="shared" si="75"/>
        <v>1</v>
      </c>
      <c r="BB119" s="9">
        <f t="shared" si="76"/>
        <v>0</v>
      </c>
      <c r="BC119" s="28">
        <f t="shared" si="53"/>
        <v>0</v>
      </c>
      <c r="BD119" s="28">
        <f t="shared" si="54"/>
        <v>0</v>
      </c>
      <c r="BE119" s="13">
        <f t="shared" si="55"/>
        <v>60</v>
      </c>
      <c r="BF119" s="13">
        <f t="shared" si="77"/>
        <v>0</v>
      </c>
      <c r="BG119" s="28">
        <f t="shared" si="56"/>
        <v>60</v>
      </c>
    </row>
    <row r="120" spans="1:59" x14ac:dyDescent="0.2">
      <c r="A120" s="8">
        <f t="shared" si="57"/>
        <v>79</v>
      </c>
      <c r="B120" s="26">
        <f t="shared" si="59"/>
        <v>1580</v>
      </c>
      <c r="C120" s="26">
        <f t="shared" si="19"/>
        <v>0</v>
      </c>
      <c r="D120" s="26">
        <f t="shared" si="20"/>
        <v>1580</v>
      </c>
      <c r="E120" s="27">
        <f t="shared" si="21"/>
        <v>0</v>
      </c>
      <c r="F120" s="26">
        <f t="shared" si="22"/>
        <v>1580</v>
      </c>
      <c r="G120" s="26">
        <f t="shared" si="23"/>
        <v>82160</v>
      </c>
      <c r="H120" s="26">
        <f t="shared" si="24"/>
        <v>19182.8</v>
      </c>
      <c r="I120" s="26">
        <f t="shared" si="25"/>
        <v>62977.2</v>
      </c>
      <c r="J120" s="26">
        <f t="shared" si="26"/>
        <v>1211.0999999999999</v>
      </c>
      <c r="K120" s="26">
        <f t="shared" si="27"/>
        <v>1211.0999999999999</v>
      </c>
      <c r="L120" s="26">
        <f t="shared" si="28"/>
        <v>0</v>
      </c>
      <c r="M120" s="26">
        <f t="shared" si="29"/>
        <v>0</v>
      </c>
      <c r="N120" s="27">
        <f t="shared" si="30"/>
        <v>48.350000000000023</v>
      </c>
      <c r="O120" s="27">
        <f t="shared" si="31"/>
        <v>0</v>
      </c>
      <c r="P120" s="26">
        <f t="shared" si="32"/>
        <v>1259.4499999999998</v>
      </c>
      <c r="Q120" s="26">
        <f t="shared" si="33"/>
        <v>65491.399999999994</v>
      </c>
      <c r="R120" s="16">
        <f t="shared" si="78"/>
        <v>0.60000000000001141</v>
      </c>
      <c r="S120" s="26" t="str">
        <f t="shared" si="35"/>
        <v>NA</v>
      </c>
      <c r="T120" s="27">
        <f t="shared" si="36"/>
        <v>60</v>
      </c>
      <c r="U120" s="26">
        <f t="shared" si="60"/>
        <v>1199.4499999999998</v>
      </c>
      <c r="V120" s="16">
        <f t="shared" si="58"/>
        <v>0.60000000000001141</v>
      </c>
      <c r="W120" s="28">
        <f t="shared" si="61"/>
        <v>511.65</v>
      </c>
      <c r="X120" s="29">
        <f t="shared" si="37"/>
        <v>27</v>
      </c>
      <c r="Y120" s="29">
        <f t="shared" si="38"/>
        <v>930.99999999999989</v>
      </c>
      <c r="Z120" s="29">
        <f t="shared" si="39"/>
        <v>511.65</v>
      </c>
      <c r="AA120" s="28">
        <f t="shared" si="40"/>
        <v>0</v>
      </c>
      <c r="AB120" s="28">
        <f t="shared" si="41"/>
        <v>127.91249999999999</v>
      </c>
      <c r="AC120" s="28">
        <f t="shared" si="62"/>
        <v>172.08750000000001</v>
      </c>
      <c r="AD120" s="28">
        <f t="shared" si="42"/>
        <v>129.06562500000001</v>
      </c>
      <c r="AE120" s="13">
        <f t="shared" si="63"/>
        <v>129.06562500000001</v>
      </c>
      <c r="AF120" s="13">
        <f t="shared" si="64"/>
        <v>637.64285714285711</v>
      </c>
      <c r="AG120" s="13">
        <f t="shared" si="43"/>
        <v>0</v>
      </c>
      <c r="AH120" s="28">
        <f t="shared" si="65"/>
        <v>231.81</v>
      </c>
      <c r="AI120" s="13">
        <f t="shared" si="66"/>
        <v>948</v>
      </c>
      <c r="AJ120" s="28">
        <f t="shared" si="67"/>
        <v>255.96</v>
      </c>
      <c r="AK120" s="13">
        <f t="shared" si="44"/>
        <v>0</v>
      </c>
      <c r="AL120" s="47">
        <f t="shared" si="45"/>
        <v>20</v>
      </c>
      <c r="AM120" s="13" t="str">
        <f t="shared" si="46"/>
        <v>N</v>
      </c>
      <c r="AN120" s="13">
        <f t="shared" si="47"/>
        <v>0</v>
      </c>
      <c r="AO120" s="13" t="str">
        <f t="shared" si="48"/>
        <v>Y</v>
      </c>
      <c r="AP120" s="13">
        <f t="shared" si="49"/>
        <v>72.5</v>
      </c>
      <c r="AQ120" s="13">
        <f t="shared" si="50"/>
        <v>24.149999999999974</v>
      </c>
      <c r="AR120" s="13">
        <f t="shared" si="51"/>
        <v>48.350000000000023</v>
      </c>
      <c r="AS120" s="9">
        <f t="shared" si="68"/>
        <v>2</v>
      </c>
      <c r="AT120" s="9">
        <f t="shared" si="69"/>
        <v>20</v>
      </c>
      <c r="AU120" s="9">
        <f t="shared" si="70"/>
        <v>0</v>
      </c>
      <c r="AV120" s="13">
        <f t="shared" si="71"/>
        <v>0</v>
      </c>
      <c r="AW120" s="13">
        <f t="shared" si="72"/>
        <v>0</v>
      </c>
      <c r="AX120" s="9">
        <f t="shared" si="73"/>
        <v>1</v>
      </c>
      <c r="AY120" s="9">
        <f t="shared" si="74"/>
        <v>0</v>
      </c>
      <c r="AZ120" s="28">
        <f t="shared" si="52"/>
        <v>0</v>
      </c>
      <c r="BA120" s="9">
        <f t="shared" si="75"/>
        <v>1</v>
      </c>
      <c r="BB120" s="9">
        <f t="shared" si="76"/>
        <v>0</v>
      </c>
      <c r="BC120" s="28">
        <f t="shared" si="53"/>
        <v>0</v>
      </c>
      <c r="BD120" s="28">
        <f t="shared" si="54"/>
        <v>0</v>
      </c>
      <c r="BE120" s="13">
        <f t="shared" si="55"/>
        <v>60</v>
      </c>
      <c r="BF120" s="13">
        <f t="shared" si="77"/>
        <v>0</v>
      </c>
      <c r="BG120" s="28">
        <f t="shared" si="56"/>
        <v>60</v>
      </c>
    </row>
    <row r="121" spans="1:59" x14ac:dyDescent="0.2">
      <c r="A121" s="8">
        <f t="shared" si="57"/>
        <v>80</v>
      </c>
      <c r="B121" s="26">
        <f t="shared" si="59"/>
        <v>1600</v>
      </c>
      <c r="C121" s="26">
        <f t="shared" si="19"/>
        <v>0</v>
      </c>
      <c r="D121" s="26">
        <f t="shared" si="20"/>
        <v>1600</v>
      </c>
      <c r="E121" s="27">
        <f t="shared" si="21"/>
        <v>0</v>
      </c>
      <c r="F121" s="26">
        <f t="shared" si="22"/>
        <v>1600</v>
      </c>
      <c r="G121" s="26">
        <f t="shared" si="23"/>
        <v>83200</v>
      </c>
      <c r="H121" s="26">
        <f t="shared" si="24"/>
        <v>19526</v>
      </c>
      <c r="I121" s="26">
        <f t="shared" si="25"/>
        <v>63674</v>
      </c>
      <c r="J121" s="26">
        <f t="shared" si="26"/>
        <v>1224.5</v>
      </c>
      <c r="K121" s="26">
        <f t="shared" si="27"/>
        <v>1224.5</v>
      </c>
      <c r="L121" s="26">
        <f t="shared" si="28"/>
        <v>0</v>
      </c>
      <c r="M121" s="26">
        <f t="shared" si="29"/>
        <v>0</v>
      </c>
      <c r="N121" s="27">
        <f t="shared" si="30"/>
        <v>42.950000000000024</v>
      </c>
      <c r="O121" s="27">
        <f t="shared" si="31"/>
        <v>0</v>
      </c>
      <c r="P121" s="26">
        <f t="shared" si="32"/>
        <v>1267.45</v>
      </c>
      <c r="Q121" s="26">
        <f t="shared" si="33"/>
        <v>65907.400000000009</v>
      </c>
      <c r="R121" s="16">
        <f t="shared" si="78"/>
        <v>0.59999999999998865</v>
      </c>
      <c r="S121" s="26" t="str">
        <f t="shared" si="35"/>
        <v>NA</v>
      </c>
      <c r="T121" s="27">
        <f t="shared" si="36"/>
        <v>60</v>
      </c>
      <c r="U121" s="26">
        <f t="shared" si="60"/>
        <v>1207.45</v>
      </c>
      <c r="V121" s="16">
        <f t="shared" si="58"/>
        <v>0.59999999999998865</v>
      </c>
      <c r="W121" s="28">
        <f t="shared" si="61"/>
        <v>511.65</v>
      </c>
      <c r="X121" s="29">
        <f t="shared" si="37"/>
        <v>27</v>
      </c>
      <c r="Y121" s="29">
        <f t="shared" si="38"/>
        <v>944.99999999999989</v>
      </c>
      <c r="Z121" s="29">
        <f t="shared" si="39"/>
        <v>511.65</v>
      </c>
      <c r="AA121" s="28">
        <f t="shared" si="40"/>
        <v>0</v>
      </c>
      <c r="AB121" s="28">
        <f t="shared" si="41"/>
        <v>127.91249999999999</v>
      </c>
      <c r="AC121" s="28">
        <f t="shared" si="62"/>
        <v>172.08750000000001</v>
      </c>
      <c r="AD121" s="28">
        <f t="shared" si="42"/>
        <v>129.06562500000001</v>
      </c>
      <c r="AE121" s="13">
        <f t="shared" si="63"/>
        <v>129.06562500000001</v>
      </c>
      <c r="AF121" s="13">
        <f t="shared" si="64"/>
        <v>657.64285714285711</v>
      </c>
      <c r="AG121" s="13">
        <f t="shared" si="43"/>
        <v>0</v>
      </c>
      <c r="AH121" s="28">
        <f t="shared" si="65"/>
        <v>231.81</v>
      </c>
      <c r="AI121" s="13">
        <f t="shared" si="66"/>
        <v>968</v>
      </c>
      <c r="AJ121" s="28">
        <f t="shared" si="67"/>
        <v>261.36</v>
      </c>
      <c r="AK121" s="13">
        <f t="shared" si="44"/>
        <v>0</v>
      </c>
      <c r="AL121" s="47">
        <f t="shared" si="45"/>
        <v>20</v>
      </c>
      <c r="AM121" s="13" t="str">
        <f t="shared" si="46"/>
        <v>N</v>
      </c>
      <c r="AN121" s="13">
        <f t="shared" si="47"/>
        <v>0</v>
      </c>
      <c r="AO121" s="13" t="str">
        <f t="shared" si="48"/>
        <v>Y</v>
      </c>
      <c r="AP121" s="13">
        <f t="shared" si="49"/>
        <v>72.5</v>
      </c>
      <c r="AQ121" s="13">
        <f t="shared" si="50"/>
        <v>29.549999999999976</v>
      </c>
      <c r="AR121" s="13">
        <f t="shared" si="51"/>
        <v>42.950000000000024</v>
      </c>
      <c r="AS121" s="9">
        <f t="shared" si="68"/>
        <v>2</v>
      </c>
      <c r="AT121" s="9">
        <f t="shared" si="69"/>
        <v>20</v>
      </c>
      <c r="AU121" s="9">
        <f t="shared" si="70"/>
        <v>0</v>
      </c>
      <c r="AV121" s="13">
        <f t="shared" si="71"/>
        <v>0</v>
      </c>
      <c r="AW121" s="13">
        <f t="shared" si="72"/>
        <v>0</v>
      </c>
      <c r="AX121" s="9">
        <f t="shared" si="73"/>
        <v>1</v>
      </c>
      <c r="AY121" s="9">
        <f t="shared" si="74"/>
        <v>0</v>
      </c>
      <c r="AZ121" s="28">
        <f t="shared" si="52"/>
        <v>0</v>
      </c>
      <c r="BA121" s="9">
        <f t="shared" si="75"/>
        <v>1</v>
      </c>
      <c r="BB121" s="9">
        <f t="shared" si="76"/>
        <v>0</v>
      </c>
      <c r="BC121" s="28">
        <f t="shared" si="53"/>
        <v>0</v>
      </c>
      <c r="BD121" s="28">
        <f t="shared" si="54"/>
        <v>0</v>
      </c>
      <c r="BE121" s="13">
        <f t="shared" si="55"/>
        <v>60</v>
      </c>
      <c r="BF121" s="13">
        <f t="shared" si="77"/>
        <v>0</v>
      </c>
      <c r="BG121" s="28">
        <f t="shared" si="56"/>
        <v>60</v>
      </c>
    </row>
    <row r="122" spans="1:59" x14ac:dyDescent="0.2">
      <c r="A122" s="8">
        <f t="shared" si="57"/>
        <v>81</v>
      </c>
      <c r="B122" s="26">
        <f t="shared" si="59"/>
        <v>1620</v>
      </c>
      <c r="C122" s="26">
        <f t="shared" si="19"/>
        <v>0</v>
      </c>
      <c r="D122" s="26">
        <f t="shared" si="20"/>
        <v>1620</v>
      </c>
      <c r="E122" s="27">
        <f t="shared" si="21"/>
        <v>0</v>
      </c>
      <c r="F122" s="26">
        <f t="shared" si="22"/>
        <v>1620</v>
      </c>
      <c r="G122" s="26">
        <f t="shared" si="23"/>
        <v>84240</v>
      </c>
      <c r="H122" s="26">
        <f t="shared" si="24"/>
        <v>19869.2</v>
      </c>
      <c r="I122" s="26">
        <f t="shared" si="25"/>
        <v>64370.8</v>
      </c>
      <c r="J122" s="26">
        <f t="shared" si="26"/>
        <v>1237.9000000000001</v>
      </c>
      <c r="K122" s="26">
        <f t="shared" si="27"/>
        <v>1237.9000000000001</v>
      </c>
      <c r="L122" s="26">
        <f t="shared" si="28"/>
        <v>0</v>
      </c>
      <c r="M122" s="26">
        <f t="shared" si="29"/>
        <v>0</v>
      </c>
      <c r="N122" s="27">
        <f t="shared" si="30"/>
        <v>37.550000000000026</v>
      </c>
      <c r="O122" s="27">
        <f t="shared" si="31"/>
        <v>0</v>
      </c>
      <c r="P122" s="26">
        <f t="shared" si="32"/>
        <v>1275.45</v>
      </c>
      <c r="Q122" s="26">
        <f t="shared" si="33"/>
        <v>66323.400000000009</v>
      </c>
      <c r="R122" s="16">
        <f t="shared" si="78"/>
        <v>0.6</v>
      </c>
      <c r="S122" s="26">
        <f t="shared" si="35"/>
        <v>81493.400000000009</v>
      </c>
      <c r="T122" s="27">
        <f t="shared" si="36"/>
        <v>60</v>
      </c>
      <c r="U122" s="26">
        <f t="shared" si="60"/>
        <v>1215.45</v>
      </c>
      <c r="V122" s="16">
        <f t="shared" si="58"/>
        <v>0.6</v>
      </c>
      <c r="W122" s="28">
        <f t="shared" si="61"/>
        <v>511.65</v>
      </c>
      <c r="X122" s="29">
        <f t="shared" si="37"/>
        <v>27</v>
      </c>
      <c r="Y122" s="29">
        <f t="shared" si="38"/>
        <v>958.99999999999989</v>
      </c>
      <c r="Z122" s="29">
        <f t="shared" si="39"/>
        <v>511.65</v>
      </c>
      <c r="AA122" s="28">
        <f t="shared" si="40"/>
        <v>0</v>
      </c>
      <c r="AB122" s="28">
        <f t="shared" si="41"/>
        <v>127.91249999999999</v>
      </c>
      <c r="AC122" s="28">
        <f t="shared" si="62"/>
        <v>172.08750000000001</v>
      </c>
      <c r="AD122" s="28">
        <f t="shared" si="42"/>
        <v>129.06562500000001</v>
      </c>
      <c r="AE122" s="13">
        <f t="shared" si="63"/>
        <v>129.06562500000001</v>
      </c>
      <c r="AF122" s="13">
        <f t="shared" si="64"/>
        <v>677.64285714285711</v>
      </c>
      <c r="AG122" s="13">
        <f t="shared" si="43"/>
        <v>0</v>
      </c>
      <c r="AH122" s="28">
        <f t="shared" si="65"/>
        <v>231.81</v>
      </c>
      <c r="AI122" s="13">
        <f t="shared" si="66"/>
        <v>988</v>
      </c>
      <c r="AJ122" s="28">
        <f t="shared" si="67"/>
        <v>266.76</v>
      </c>
      <c r="AK122" s="13">
        <f t="shared" si="44"/>
        <v>0</v>
      </c>
      <c r="AL122" s="47">
        <f t="shared" si="45"/>
        <v>20</v>
      </c>
      <c r="AM122" s="13" t="str">
        <f t="shared" si="46"/>
        <v>N</v>
      </c>
      <c r="AN122" s="13">
        <f t="shared" si="47"/>
        <v>0</v>
      </c>
      <c r="AO122" s="13" t="str">
        <f t="shared" si="48"/>
        <v>Y</v>
      </c>
      <c r="AP122" s="13">
        <f t="shared" si="49"/>
        <v>72.5</v>
      </c>
      <c r="AQ122" s="13">
        <f t="shared" si="50"/>
        <v>34.949999999999974</v>
      </c>
      <c r="AR122" s="13">
        <f t="shared" si="51"/>
        <v>37.550000000000026</v>
      </c>
      <c r="AS122" s="9">
        <f t="shared" si="68"/>
        <v>2</v>
      </c>
      <c r="AT122" s="9">
        <f t="shared" si="69"/>
        <v>20</v>
      </c>
      <c r="AU122" s="9">
        <f t="shared" si="70"/>
        <v>0</v>
      </c>
      <c r="AV122" s="13">
        <f t="shared" si="71"/>
        <v>0</v>
      </c>
      <c r="AW122" s="13">
        <f t="shared" si="72"/>
        <v>0</v>
      </c>
      <c r="AX122" s="9">
        <f t="shared" si="73"/>
        <v>1</v>
      </c>
      <c r="AY122" s="9">
        <f t="shared" si="74"/>
        <v>0</v>
      </c>
      <c r="AZ122" s="28">
        <f t="shared" si="52"/>
        <v>0</v>
      </c>
      <c r="BA122" s="9">
        <f t="shared" si="75"/>
        <v>1</v>
      </c>
      <c r="BB122" s="9">
        <f t="shared" si="76"/>
        <v>0</v>
      </c>
      <c r="BC122" s="28">
        <f t="shared" si="53"/>
        <v>0</v>
      </c>
      <c r="BD122" s="28">
        <f t="shared" si="54"/>
        <v>0</v>
      </c>
      <c r="BE122" s="13">
        <f t="shared" si="55"/>
        <v>60</v>
      </c>
      <c r="BF122" s="13">
        <f t="shared" si="77"/>
        <v>0</v>
      </c>
      <c r="BG122" s="28">
        <f t="shared" si="56"/>
        <v>60</v>
      </c>
    </row>
  </sheetData>
  <mergeCells count="8">
    <mergeCell ref="BE59:BG59"/>
    <mergeCell ref="A59:V59"/>
    <mergeCell ref="W59:AA59"/>
    <mergeCell ref="AB59:AG59"/>
    <mergeCell ref="AH59:AK59"/>
    <mergeCell ref="AS59:BD59"/>
    <mergeCell ref="AL59:AN59"/>
    <mergeCell ref="AO59:AR59"/>
  </mergeCells>
  <dataValidations count="3">
    <dataValidation type="list" allowBlank="1" showInputMessage="1" showErrorMessage="1" sqref="B8" xr:uid="{45FB9FEA-442A-3646-B72C-A5C9500C4B27}">
      <formula1>"Living at home,Living away from home"</formula1>
    </dataValidation>
    <dataValidation type="list" allowBlank="1" showInputMessage="1" showErrorMessage="1" sqref="B6" xr:uid="{6EC18B69-1D49-AC40-AB58-C8A5D10D7156}">
      <formula1>"1,2,3,4"</formula1>
    </dataValidation>
    <dataValidation type="list" allowBlank="1" showInputMessage="1" showErrorMessage="1" sqref="B2" xr:uid="{E667F3FF-303C-2E45-A286-B7F32482BFCE}">
      <formula1>"Single,Couple (both on benefit),Couple (1 not on benefit)"</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20</vt:i4>
      </vt:variant>
    </vt:vector>
  </HeadingPairs>
  <TitlesOfParts>
    <vt:vector size="27" baseType="lpstr">
      <vt:lpstr>Overview</vt:lpstr>
      <vt:lpstr>Entitlements</vt:lpstr>
      <vt:lpstr>Jobseeker</vt:lpstr>
      <vt:lpstr>Family Tax Credits</vt:lpstr>
      <vt:lpstr>Childcare and Oscar</vt:lpstr>
      <vt:lpstr>Scenario - Add Hrs</vt:lpstr>
      <vt:lpstr>Scenario - Add Pay</vt:lpstr>
      <vt:lpstr>AccommodationSupplementHeader</vt:lpstr>
      <vt:lpstr>AccommodationSupplementValues</vt:lpstr>
      <vt:lpstr>CCO_Lookup</vt:lpstr>
      <vt:lpstr>CCO_NumberChildren</vt:lpstr>
      <vt:lpstr>CCO_Value</vt:lpstr>
      <vt:lpstr>FTC_AbatementRate</vt:lpstr>
      <vt:lpstr>FTC_FirstChild</vt:lpstr>
      <vt:lpstr>FTC_SubsequentChild</vt:lpstr>
      <vt:lpstr>FTC_Threshold</vt:lpstr>
      <vt:lpstr>IWTC_AbatementRate</vt:lpstr>
      <vt:lpstr>LivingAtHomeLookup</vt:lpstr>
      <vt:lpstr>LivingAtHomeValue</vt:lpstr>
      <vt:lpstr>LivingSituationLookup</vt:lpstr>
      <vt:lpstr>LivingSituationValue</vt:lpstr>
      <vt:lpstr>MainBenefitAbatement2Values</vt:lpstr>
      <vt:lpstr>MainBenefitAbatementThreshold2Values</vt:lpstr>
      <vt:lpstr>MainBenefitAbatementThresholdValues</vt:lpstr>
      <vt:lpstr>MainBenefitAbatementValues</vt:lpstr>
      <vt:lpstr>MainBenefitLookup</vt:lpstr>
      <vt:lpstr>MainBenefitValues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Lambert</dc:creator>
  <cp:lastModifiedBy>Paul Lambert</cp:lastModifiedBy>
  <dcterms:created xsi:type="dcterms:W3CDTF">2022-09-28T22:14:26Z</dcterms:created>
  <dcterms:modified xsi:type="dcterms:W3CDTF">2022-10-12T05:55:22Z</dcterms:modified>
</cp:coreProperties>
</file>